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G:\Mrig Analytics\mrigAnalytics\interface\"/>
    </mc:Choice>
  </mc:AlternateContent>
  <xr:revisionPtr revIDLastSave="0" documentId="13_ncr:1_{F35F4A88-3A6D-4C80-BF4F-12BDDFD774DE}" xr6:coauthVersionLast="47" xr6:coauthVersionMax="47" xr10:uidLastSave="{00000000-0000-0000-0000-000000000000}"/>
  <bookViews>
    <workbookView xWindow="-120" yWindow="-120" windowWidth="20730" windowHeight="11310" tabRatio="831" firstSheet="5" activeTab="14" xr2:uid="{00000000-000D-0000-FFFF-FFFF00000000}"/>
  </bookViews>
  <sheets>
    <sheet name="Trade" sheetId="1" r:id="rId1"/>
    <sheet name="ZeroDha Ledger" sheetId="19" r:id="rId2"/>
    <sheet name="Market" sheetId="9" r:id="rId3"/>
    <sheet name="Punting -&gt;&gt;" sheetId="6" r:id="rId4"/>
    <sheet name="Option_Traders" sheetId="5" r:id="rId5"/>
    <sheet name="Option Wheel -&gt;&gt;" sheetId="13" r:id="rId6"/>
    <sheet name="Stock Fundamentals" sheetId="15" r:id="rId7"/>
    <sheet name="Option_Wheel Analysis" sheetId="10" r:id="rId8"/>
    <sheet name="Iron Butterfly Condor -&gt;&gt;" sheetId="23" r:id="rId9"/>
    <sheet name="Iron ButterflyCondor Analysis" sheetId="21" r:id="rId10"/>
    <sheet name="Sheet1" sheetId="26" r:id="rId11"/>
    <sheet name="Swing Futures" sheetId="24" r:id="rId12"/>
    <sheet name="Lots" sheetId="11" r:id="rId13"/>
    <sheet name="Reference" sheetId="3" r:id="rId14"/>
    <sheet name="Rough Analysis" sheetId="25" r:id="rId15"/>
    <sheet name="Sheet2" sheetId="27" r:id="rId16"/>
  </sheets>
  <functionGroups builtInGroupCount="19"/>
  <definedNames>
    <definedName name="_xlnm._FilterDatabase" localSheetId="8" hidden="1">'Iron Butterfly Condor -&gt;&gt;'!$A$7:$BG$434</definedName>
    <definedName name="_xlnm._FilterDatabase" localSheetId="12" hidden="1">Lots!$A$1:$Q$177</definedName>
    <definedName name="_xlnm._FilterDatabase" localSheetId="13" hidden="1">Reference!$A$14:$H$76</definedName>
    <definedName name="NIFTY_DIVYLD">Reference!$S$2</definedName>
    <definedName name="RISKFREE_RATE">Reference!$R$2</definedName>
    <definedName name="solver_adj" localSheetId="15" hidden="1">Sheet2!$D$9</definedName>
    <definedName name="solver_cvg" localSheetId="15" hidden="1">0.0001</definedName>
    <definedName name="solver_drv" localSheetId="15" hidden="1">1</definedName>
    <definedName name="solver_eng" localSheetId="15" hidden="1">1</definedName>
    <definedName name="solver_est" localSheetId="15" hidden="1">1</definedName>
    <definedName name="solver_itr" localSheetId="15" hidden="1">2147483647</definedName>
    <definedName name="solver_mip" localSheetId="15" hidden="1">2147483647</definedName>
    <definedName name="solver_mni" localSheetId="15" hidden="1">30</definedName>
    <definedName name="solver_mrt" localSheetId="15" hidden="1">0.075</definedName>
    <definedName name="solver_msl" localSheetId="15" hidden="1">2</definedName>
    <definedName name="solver_neg" localSheetId="15" hidden="1">1</definedName>
    <definedName name="solver_nod" localSheetId="15" hidden="1">2147483647</definedName>
    <definedName name="solver_num" localSheetId="15" hidden="1">0</definedName>
    <definedName name="solver_nwt" localSheetId="15" hidden="1">1</definedName>
    <definedName name="solver_opt" localSheetId="15" hidden="1">Sheet2!$G$16</definedName>
    <definedName name="solver_pre" localSheetId="15" hidden="1">0.000001</definedName>
    <definedName name="solver_rbv" localSheetId="15" hidden="1">1</definedName>
    <definedName name="solver_rlx" localSheetId="15" hidden="1">2</definedName>
    <definedName name="solver_rsd" localSheetId="15" hidden="1">0</definedName>
    <definedName name="solver_scl" localSheetId="15" hidden="1">1</definedName>
    <definedName name="solver_sho" localSheetId="15" hidden="1">2</definedName>
    <definedName name="solver_ssz" localSheetId="15" hidden="1">100</definedName>
    <definedName name="solver_tim" localSheetId="15" hidden="1">2147483647</definedName>
    <definedName name="solver_tol" localSheetId="15" hidden="1">0.01</definedName>
    <definedName name="solver_typ" localSheetId="15" hidden="1">3</definedName>
    <definedName name="solver_val" localSheetId="15" hidden="1">0</definedName>
    <definedName name="solver_ver" localSheetId="15" hidden="1">3</definedName>
  </definedNames>
  <calcPr calcId="191029" calcMode="manual"/>
  <pivotCaches>
    <pivotCache cacheId="0" r:id="rId17"/>
  </pivotCaches>
  <extLst>
    <ext xmlns:x14="http://schemas.microsoft.com/office/spreadsheetml/2009/9/main" uri="{8193D73E-4604-4355-AFF4-8A2333D13BE4}">
      <x14:definedNames>
        <x14:definedName name="argcheck">
          <x14:argumentDescriptions count="1">
            <x14:argumentDescription index="0">Positional argument 1</x14:argumentDescription>
          </x14:argumentDescriptions>
        </x14:definedName>
        <x14:definedName name="bondAnalytics">
          <x14:argumentDescriptions count="1">
            <x14:argumentDescription index="0">Positional argument 1</x14:argumentDescription>
          </x14:argumentDescriptions>
        </x14:definedName>
        <x14:definedName name="CORREL2">
          <x14:argumentDescriptions count="1">
            <x14:argumentDescription index="0">Positional argument 1</x14:argumentDescription>
          </x14:argumentDescriptions>
        </x14:definedName>
        <x14:definedName name="mrigxl_Analytics">
          <x14:argumentDescriptions count="2">
            <x14:argumentDescription index="0">Positional argument 1</x14:argumentDescription>
            <x14:argumentDescription index="1">Positional argument 2</x14:argumentDescription>
          </x14:argumentDescriptions>
        </x14:definedName>
        <x14:definedName name="mrigxl_avg_drawdow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ear_call_spread">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igmoneyzack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ond">
          <x14:argumentDescriptions count="2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 index="19">Positional argument 20</x14:argumentDescription>
            <x14:argumentDescription index="20">Positional argument 21</x14:argumentDescription>
            <x14:argumentDescription index="21">Positional argument 22</x14:argumentDescription>
            <x14:argumentDescription index="22">Positional argument 23</x14:argumentDescription>
            <x14:argumentDescription index="23">Positional argument 24</x14:argumentDescription>
          </x14:argumentDescriptions>
        </x14:definedName>
        <x14:definedName name="mrigxl_bull_put_spread">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CapFloor">
          <x14:argumentDescriptions count="1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s>
        </x14:definedName>
        <x14:definedName name="mrigxl_CapFloorVolatilitySurfac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ConstantVolatilityCurve">
          <x14:argumentDescriptions count="1">
            <x14:argumentDescription index="0">Positional argument 1</x14:argumentDescription>
          </x14:argumentDescriptions>
        </x14:definedName>
        <x14:definedName name="mrigxl_covered_call">
          <x14:argumentDescriptions count="1">
            <x14:argumentDescription index="0">Positional argument 1</x14:argumentDescription>
          </x14:argumentDescriptions>
        </x14:definedName>
        <x14:definedName name="mrigxl_db_crude">
          <x14:argumentDescriptions count="2">
            <x14:argumentDescription index="0">Positional argument 1</x14:argumentDescription>
            <x14:argumentDescription index="1">Positional argument 2</x14:argumentDescription>
          </x14:argumentDescriptions>
        </x14:definedName>
        <x14:definedName name="mrigxl_db_fx">
          <x14:argumentDescriptions count="2">
            <x14:argumentDescription index="0">Positional argument 1</x14:argumentDescription>
            <x14:argumentDescription index="1">Positional argument 2</x14:argumentDescription>
          </x14:argumentDescriptions>
        </x14:definedName>
        <x14:definedName name="mrigxl_db_gold">
          <x14:argumentDescriptions count="2">
            <x14:argumentDescription index="0">Positional argument 1</x14:argumentDescription>
            <x14:argumentDescription index="1">Positional argument 2</x14:argumentDescription>
          </x14:argumentDescriptions>
        </x14:definedName>
        <x14:definedName name="mrigxl_db_nifty">
          <x14:argumentDescriptions count="2">
            <x14:argumentDescription index="0">Positional argument 1</x14:argumentDescription>
            <x14:argumentDescription index="1">Positional argument 2</x14:argumentDescription>
          </x14:argumentDescriptions>
        </x14:definedName>
        <x14:definedName name="mrigxl_db_rates">
          <x14:argumentDescriptions count="2">
            <x14:argumentDescription index="0">Positional argument 1</x14:argumentDescription>
            <x14:argumentDescription index="1">Positional argument 2</x14:argumentDescription>
          </x14:argumentDescriptions>
        </x14:definedName>
        <x14:definedName name="mrigxl_FlatDividendYield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FlatForwardYieldCurv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FlatVolatility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getIndexFuturesQuot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getIndexOptionQuote">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mrigxl_getIndexQuote">
          <x14:argumentDescriptions count="1">
            <x14:argumentDescription index="0">Positional argument 1</x14:argumentDescription>
          </x14:argumentDescriptions>
        </x14:definedName>
        <x14:definedName name="mrigxl_getMFNAV">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getMFNAV1">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getOptionData">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mrigxl_getStockData">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getStockFuturesQuot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getStockOptionQuote">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mrigxl_getStockQuote">
          <x14:argumentDescriptions count="2">
            <x14:argumentDescription index="0">Positional argument 1</x14:argumentDescription>
            <x14:argumentDescription index="1">Positional argument 2</x14:argumentDescription>
          </x14:argumentDescriptions>
        </x14:definedName>
        <x14:definedName name="mrigxl_growthincom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IRR">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Libor">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max_drawdow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ewhigh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ifty_sector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Option">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quote">
          <x14:argumentDescriptions count="1">
            <x14:argumentDescription index="0">Positional argument 1</x14:argumentDescription>
          </x14:argumentDescriptions>
        </x14:definedName>
        <x14:definedName name="mrigxl_ratePlot">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sector_returns">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smallcapgrowth">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SpotZeroYieldCurve">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stockquote">
          <x14:argumentDescriptions count="1">
            <x14:argumentDescription index="0">Positional argument 1</x14:argumentDescription>
          </x14:argumentDescriptions>
        </x14:definedName>
        <x14:definedName name="mrigxl_stored_strategies">
          <x14:argumentDescriptions count="1">
            <x14:argumentDescription index="0">Positional argument 1</x14:argumentDescription>
          </x14:argumentDescriptions>
        </x14:definedName>
        <x14:definedName name="mrigxl_Swap">
          <x14:argumentDescriptions count="19">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s>
        </x14:definedName>
        <x14:definedName name="mrigxl_tafa">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top_mf_holding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volSurface">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zerodha">
          <x14:argumentDescriptions count="5">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s>
        </x14:definedName>
        <x14:definedName name="myplot">
          <x14:argumentDescriptions count="1">
            <x14:argumentDescription index="0">Positional argument 1</x14:argumentDescription>
          </x14:argumentDescriptions>
        </x14:definedName>
        <x14:definedName name="setPricing">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5" i="25" l="1"/>
  <c r="Q5" i="25"/>
  <c r="R5" i="25"/>
  <c r="N5" i="25"/>
  <c r="T5" i="25" s="1"/>
  <c r="H5" i="25"/>
  <c r="L9" i="27"/>
  <c r="K9" i="27"/>
  <c r="J9" i="27"/>
  <c r="H9" i="27"/>
  <c r="G9" i="27"/>
  <c r="F9" i="27"/>
  <c r="L6" i="27"/>
  <c r="K6" i="27"/>
  <c r="J6" i="27"/>
  <c r="H6" i="27"/>
  <c r="G6" i="27"/>
  <c r="F6" i="27"/>
  <c r="G14" i="27"/>
  <c r="F14" i="27"/>
  <c r="I14" i="27"/>
  <c r="L14" i="27"/>
  <c r="H14" i="27"/>
  <c r="K14" i="27"/>
  <c r="J14" i="27"/>
  <c r="G16" i="27" l="1"/>
  <c r="AE434" i="23"/>
  <c r="AD434" i="23"/>
  <c r="AC434" i="23" s="1"/>
  <c r="U434" i="23" s="1"/>
  <c r="V434" i="23"/>
  <c r="W434" i="23" s="1"/>
  <c r="Q434" i="23" s="1"/>
  <c r="S434" i="23"/>
  <c r="P434" i="23"/>
  <c r="AJ434" i="23" s="1"/>
  <c r="O434" i="23"/>
  <c r="N434" i="23"/>
  <c r="M434" i="23"/>
  <c r="AE433" i="23"/>
  <c r="AD433" i="23"/>
  <c r="AC433" i="23" s="1"/>
  <c r="V433" i="23"/>
  <c r="W433" i="23" s="1"/>
  <c r="Q433" i="23" s="1"/>
  <c r="S433" i="23"/>
  <c r="P433" i="23"/>
  <c r="AH433" i="23" s="1"/>
  <c r="O433" i="23"/>
  <c r="N433" i="23"/>
  <c r="M433" i="23"/>
  <c r="AE432" i="23"/>
  <c r="AD432" i="23"/>
  <c r="AC432" i="23" s="1"/>
  <c r="V432" i="23"/>
  <c r="W432" i="23" s="1"/>
  <c r="Q432" i="23" s="1"/>
  <c r="S432" i="23"/>
  <c r="P432" i="23"/>
  <c r="AH432" i="23" s="1"/>
  <c r="O432" i="23"/>
  <c r="N432" i="23"/>
  <c r="M432" i="23"/>
  <c r="AJ433" i="23" l="1"/>
  <c r="U432" i="23"/>
  <c r="U433" i="23"/>
  <c r="AJ432" i="23"/>
  <c r="AA434" i="23"/>
  <c r="X434" i="23"/>
  <c r="AB434" i="23"/>
  <c r="AH434" i="23"/>
  <c r="Y434" i="23"/>
  <c r="Z434" i="23" s="1"/>
  <c r="AE431" i="23"/>
  <c r="AD431" i="23"/>
  <c r="V431" i="23"/>
  <c r="W431" i="23" s="1"/>
  <c r="Q431" i="23" s="1"/>
  <c r="S431" i="23"/>
  <c r="P431" i="23"/>
  <c r="AJ431" i="23" s="1"/>
  <c r="O431" i="23"/>
  <c r="N431" i="23"/>
  <c r="M431" i="23"/>
  <c r="AE430" i="23"/>
  <c r="AD430" i="23"/>
  <c r="V430" i="23"/>
  <c r="W430" i="23" s="1"/>
  <c r="Q430" i="23" s="1"/>
  <c r="S430" i="23"/>
  <c r="P430" i="23"/>
  <c r="AH430" i="23" s="1"/>
  <c r="O430" i="23"/>
  <c r="N430" i="23"/>
  <c r="M430" i="23"/>
  <c r="AE429" i="23"/>
  <c r="AD429" i="23"/>
  <c r="V429" i="23"/>
  <c r="W429" i="23" s="1"/>
  <c r="Q429" i="23" s="1"/>
  <c r="S429" i="23"/>
  <c r="P429" i="23"/>
  <c r="AJ429" i="23" s="1"/>
  <c r="O429" i="23"/>
  <c r="N429" i="23"/>
  <c r="M429" i="23"/>
  <c r="AE428" i="23"/>
  <c r="AD428" i="23"/>
  <c r="V428" i="23"/>
  <c r="W428" i="23" s="1"/>
  <c r="Q428" i="23" s="1"/>
  <c r="S428" i="23"/>
  <c r="P428" i="23"/>
  <c r="AH428" i="23" s="1"/>
  <c r="O428" i="23"/>
  <c r="N428" i="23"/>
  <c r="M428" i="23"/>
  <c r="AA432" i="23"/>
  <c r="X432" i="23"/>
  <c r="Y432" i="23"/>
  <c r="AB432" i="23"/>
  <c r="AB433" i="23"/>
  <c r="Y433" i="23"/>
  <c r="AA433" i="23"/>
  <c r="X433" i="23"/>
  <c r="Z433" i="23" l="1"/>
  <c r="Z432" i="23"/>
  <c r="AJ428" i="23"/>
  <c r="AH429" i="23"/>
  <c r="AJ430" i="23"/>
  <c r="AH431" i="23"/>
  <c r="AE427" i="23"/>
  <c r="AD427" i="23"/>
  <c r="V427" i="23"/>
  <c r="W427" i="23" s="1"/>
  <c r="Q427" i="23" s="1"/>
  <c r="S427" i="23"/>
  <c r="P427" i="23"/>
  <c r="AJ427" i="23" s="1"/>
  <c r="O427" i="23"/>
  <c r="N427" i="23"/>
  <c r="M427" i="23"/>
  <c r="AE426" i="23"/>
  <c r="AD426" i="23"/>
  <c r="V426" i="23"/>
  <c r="W426" i="23" s="1"/>
  <c r="Q426" i="23" s="1"/>
  <c r="S426" i="23"/>
  <c r="P426" i="23"/>
  <c r="AH426" i="23" s="1"/>
  <c r="O426" i="23"/>
  <c r="N426" i="23"/>
  <c r="M426" i="23"/>
  <c r="AE425" i="23"/>
  <c r="AD425" i="23"/>
  <c r="AA425" i="23" s="1"/>
  <c r="V425" i="23"/>
  <c r="W425" i="23" s="1"/>
  <c r="S425" i="23"/>
  <c r="P425" i="23"/>
  <c r="AH425" i="23" s="1"/>
  <c r="O425" i="23"/>
  <c r="N425" i="23"/>
  <c r="M425" i="23"/>
  <c r="AB425" i="23" l="1"/>
  <c r="Y425" i="23"/>
  <c r="Z425" i="23" s="1"/>
  <c r="AC425" i="23"/>
  <c r="U425" i="23" s="1"/>
  <c r="AJ426" i="23"/>
  <c r="X425" i="23"/>
  <c r="Q425" i="23"/>
  <c r="AJ425" i="23"/>
  <c r="AH427" i="23"/>
  <c r="AE424" i="23"/>
  <c r="AD424" i="23"/>
  <c r="AB424" i="23" s="1"/>
  <c r="V424" i="23"/>
  <c r="W424" i="23" s="1"/>
  <c r="Q424" i="23" s="1"/>
  <c r="S424" i="23"/>
  <c r="P424" i="23"/>
  <c r="AH424" i="23" s="1"/>
  <c r="O424" i="23"/>
  <c r="N424" i="23"/>
  <c r="M424" i="23"/>
  <c r="AE423" i="23"/>
  <c r="AD423" i="23"/>
  <c r="V423" i="23"/>
  <c r="W423" i="23" s="1"/>
  <c r="Q423" i="23" s="1"/>
  <c r="S423" i="23"/>
  <c r="P423" i="23"/>
  <c r="AJ423" i="23" s="1"/>
  <c r="O423" i="23"/>
  <c r="N423" i="23"/>
  <c r="M423" i="23"/>
  <c r="AE422" i="23"/>
  <c r="AD422" i="23"/>
  <c r="V422" i="23"/>
  <c r="W422" i="23" s="1"/>
  <c r="Q422" i="23" s="1"/>
  <c r="S422" i="23"/>
  <c r="P422" i="23"/>
  <c r="AJ422" i="23" s="1"/>
  <c r="O422" i="23"/>
  <c r="N422" i="23"/>
  <c r="M422" i="23"/>
  <c r="AC424" i="23" l="1"/>
  <c r="U424" i="23" s="1"/>
  <c r="Y424" i="23"/>
  <c r="Z424" i="23" s="1"/>
  <c r="AJ424" i="23"/>
  <c r="AH423" i="23"/>
  <c r="AH422" i="23"/>
  <c r="AA424" i="23"/>
  <c r="X424" i="23"/>
  <c r="P406" i="23"/>
  <c r="AJ406" i="23" s="1"/>
  <c r="AF3" i="23"/>
  <c r="AE3" i="23"/>
  <c r="AD3" i="23"/>
  <c r="AC3" i="23"/>
  <c r="AB3" i="23"/>
  <c r="AA3" i="23"/>
  <c r="Z3" i="23"/>
  <c r="Y3" i="23"/>
  <c r="X3" i="23"/>
  <c r="W3" i="23"/>
  <c r="V3" i="23"/>
  <c r="U3" i="23"/>
  <c r="T3" i="23"/>
  <c r="AF2" i="23"/>
  <c r="AE2" i="23"/>
  <c r="AD2" i="23"/>
  <c r="AC2" i="23"/>
  <c r="AB2" i="23"/>
  <c r="AA2" i="23"/>
  <c r="Z2" i="23"/>
  <c r="Y2" i="23"/>
  <c r="X2" i="23"/>
  <c r="W2" i="23"/>
  <c r="V2" i="23"/>
  <c r="U2" i="23"/>
  <c r="T2" i="23"/>
  <c r="V420" i="23"/>
  <c r="W420" i="23" s="1"/>
  <c r="Q420" i="23" s="1"/>
  <c r="V419" i="23"/>
  <c r="W419" i="23" s="1"/>
  <c r="Q419" i="23" s="1"/>
  <c r="V418" i="23"/>
  <c r="W418" i="23" s="1"/>
  <c r="Q418" i="23" s="1"/>
  <c r="V417" i="23"/>
  <c r="V416" i="23"/>
  <c r="W416" i="23" s="1"/>
  <c r="Q416" i="23" s="1"/>
  <c r="V415" i="23"/>
  <c r="W415" i="23" s="1"/>
  <c r="Q415" i="23" s="1"/>
  <c r="V414" i="23"/>
  <c r="W414" i="23" s="1"/>
  <c r="V413" i="23"/>
  <c r="W413" i="23" s="1"/>
  <c r="V412" i="23"/>
  <c r="W412" i="23" s="1"/>
  <c r="V411" i="23"/>
  <c r="W411" i="23" s="1"/>
  <c r="Q411" i="23" s="1"/>
  <c r="V410" i="23"/>
  <c r="W410" i="23" s="1"/>
  <c r="Q410" i="23" s="1"/>
  <c r="V409" i="23"/>
  <c r="W409" i="23" s="1"/>
  <c r="V408" i="23"/>
  <c r="W408" i="23" s="1"/>
  <c r="V407" i="23"/>
  <c r="W407" i="23" s="1"/>
  <c r="V406" i="23"/>
  <c r="W406" i="23" s="1"/>
  <c r="Q406" i="23" s="1"/>
  <c r="V405" i="23"/>
  <c r="V404" i="23"/>
  <c r="W404" i="23" s="1"/>
  <c r="V403" i="23"/>
  <c r="W403" i="23" s="1"/>
  <c r="V402" i="23"/>
  <c r="W402" i="23" s="1"/>
  <c r="Q402" i="23" s="1"/>
  <c r="V401" i="23"/>
  <c r="V400" i="23"/>
  <c r="W400" i="23" s="1"/>
  <c r="Q400" i="23" s="1"/>
  <c r="V399" i="23"/>
  <c r="W399" i="23" s="1"/>
  <c r="Q399" i="23" s="1"/>
  <c r="V398" i="23"/>
  <c r="W398" i="23" s="1"/>
  <c r="Q398" i="23" s="1"/>
  <c r="V397" i="23"/>
  <c r="V396" i="23"/>
  <c r="W396" i="23" s="1"/>
  <c r="Q396" i="23" s="1"/>
  <c r="V395" i="23"/>
  <c r="W395" i="23" s="1"/>
  <c r="V394" i="23"/>
  <c r="W394" i="23" s="1"/>
  <c r="V393" i="23"/>
  <c r="W393" i="23" s="1"/>
  <c r="V392" i="23"/>
  <c r="W392" i="23" s="1"/>
  <c r="V391" i="23"/>
  <c r="W391" i="23" s="1"/>
  <c r="V390" i="23"/>
  <c r="W390" i="23" s="1"/>
  <c r="V389" i="23"/>
  <c r="W389" i="23" s="1"/>
  <c r="V388" i="23"/>
  <c r="W388" i="23" s="1"/>
  <c r="V387" i="23"/>
  <c r="W387" i="23" s="1"/>
  <c r="V386" i="23"/>
  <c r="W386" i="23" s="1"/>
  <c r="V385" i="23"/>
  <c r="W385" i="23" s="1"/>
  <c r="V384" i="23"/>
  <c r="W384" i="23" s="1"/>
  <c r="V383" i="23"/>
  <c r="W383" i="23" s="1"/>
  <c r="V382" i="23"/>
  <c r="W382" i="23" s="1"/>
  <c r="V381" i="23"/>
  <c r="W381" i="23" s="1"/>
  <c r="V380" i="23"/>
  <c r="W380" i="23" s="1"/>
  <c r="V379" i="23"/>
  <c r="W379" i="23" s="1"/>
  <c r="V378" i="23"/>
  <c r="W378" i="23" s="1"/>
  <c r="V377" i="23"/>
  <c r="W377" i="23" s="1"/>
  <c r="V376" i="23"/>
  <c r="W376" i="23" s="1"/>
  <c r="V375" i="23"/>
  <c r="W375" i="23" s="1"/>
  <c r="V374" i="23"/>
  <c r="W374" i="23" s="1"/>
  <c r="V373" i="23"/>
  <c r="W373" i="23" s="1"/>
  <c r="V372" i="23"/>
  <c r="W372" i="23" s="1"/>
  <c r="V371" i="23"/>
  <c r="W371" i="23" s="1"/>
  <c r="V370" i="23"/>
  <c r="W370" i="23" s="1"/>
  <c r="V369" i="23"/>
  <c r="W369" i="23" s="1"/>
  <c r="V368" i="23"/>
  <c r="W368" i="23" s="1"/>
  <c r="V367" i="23"/>
  <c r="W367" i="23" s="1"/>
  <c r="V366" i="23"/>
  <c r="W366" i="23" s="1"/>
  <c r="V365" i="23"/>
  <c r="W365" i="23" s="1"/>
  <c r="V364" i="23"/>
  <c r="W364" i="23" s="1"/>
  <c r="V363" i="23"/>
  <c r="W363" i="23" s="1"/>
  <c r="V362" i="23"/>
  <c r="W362" i="23" s="1"/>
  <c r="V361" i="23"/>
  <c r="W361" i="23" s="1"/>
  <c r="V360" i="23"/>
  <c r="W360" i="23" s="1"/>
  <c r="V359" i="23"/>
  <c r="W359" i="23" s="1"/>
  <c r="V358" i="23"/>
  <c r="W358" i="23" s="1"/>
  <c r="V357" i="23"/>
  <c r="W357" i="23" s="1"/>
  <c r="V356" i="23"/>
  <c r="W356" i="23" s="1"/>
  <c r="V355" i="23"/>
  <c r="W355" i="23" s="1"/>
  <c r="V354" i="23"/>
  <c r="W354" i="23" s="1"/>
  <c r="V353" i="23"/>
  <c r="W353" i="23" s="1"/>
  <c r="V352" i="23"/>
  <c r="W352" i="23" s="1"/>
  <c r="V351" i="23"/>
  <c r="W351" i="23" s="1"/>
  <c r="V350" i="23"/>
  <c r="W350" i="23" s="1"/>
  <c r="V349" i="23"/>
  <c r="W349" i="23" s="1"/>
  <c r="V348" i="23"/>
  <c r="W348" i="23" s="1"/>
  <c r="V347" i="23"/>
  <c r="W347" i="23" s="1"/>
  <c r="V346" i="23"/>
  <c r="W346" i="23" s="1"/>
  <c r="V345" i="23"/>
  <c r="W345" i="23" s="1"/>
  <c r="V344" i="23"/>
  <c r="W344" i="23" s="1"/>
  <c r="V343" i="23"/>
  <c r="W343" i="23" s="1"/>
  <c r="V342" i="23"/>
  <c r="W342" i="23" s="1"/>
  <c r="V341" i="23"/>
  <c r="W341" i="23" s="1"/>
  <c r="V340" i="23"/>
  <c r="W340" i="23" s="1"/>
  <c r="V339" i="23"/>
  <c r="W339" i="23" s="1"/>
  <c r="V338" i="23"/>
  <c r="W338" i="23" s="1"/>
  <c r="V337" i="23"/>
  <c r="W337" i="23" s="1"/>
  <c r="V336" i="23"/>
  <c r="W336" i="23" s="1"/>
  <c r="V335" i="23"/>
  <c r="W335" i="23" s="1"/>
  <c r="V334" i="23"/>
  <c r="W334" i="23" s="1"/>
  <c r="V333" i="23"/>
  <c r="W333" i="23" s="1"/>
  <c r="V332" i="23"/>
  <c r="W332" i="23" s="1"/>
  <c r="V331" i="23"/>
  <c r="W331" i="23" s="1"/>
  <c r="V330" i="23"/>
  <c r="W330" i="23" s="1"/>
  <c r="V329" i="23"/>
  <c r="W329" i="23" s="1"/>
  <c r="V328" i="23"/>
  <c r="W328" i="23" s="1"/>
  <c r="V327" i="23"/>
  <c r="W327" i="23" s="1"/>
  <c r="V326" i="23"/>
  <c r="W326" i="23" s="1"/>
  <c r="V325" i="23"/>
  <c r="W325" i="23" s="1"/>
  <c r="V324" i="23"/>
  <c r="W324" i="23" s="1"/>
  <c r="V323" i="23"/>
  <c r="W323" i="23" s="1"/>
  <c r="V322" i="23"/>
  <c r="W322" i="23" s="1"/>
  <c r="V321" i="23"/>
  <c r="W321" i="23" s="1"/>
  <c r="V320" i="23"/>
  <c r="W320" i="23" s="1"/>
  <c r="V319" i="23"/>
  <c r="W319" i="23" s="1"/>
  <c r="V318" i="23"/>
  <c r="W318" i="23" s="1"/>
  <c r="V317" i="23"/>
  <c r="W317" i="23" s="1"/>
  <c r="V316" i="23"/>
  <c r="W316" i="23" s="1"/>
  <c r="V315" i="23"/>
  <c r="W315" i="23" s="1"/>
  <c r="V314" i="23"/>
  <c r="W314" i="23" s="1"/>
  <c r="V313" i="23"/>
  <c r="W313" i="23" s="1"/>
  <c r="V312" i="23"/>
  <c r="W312" i="23" s="1"/>
  <c r="V311" i="23"/>
  <c r="W311" i="23" s="1"/>
  <c r="V310" i="23"/>
  <c r="W310" i="23" s="1"/>
  <c r="V309" i="23"/>
  <c r="W309" i="23" s="1"/>
  <c r="V308" i="23"/>
  <c r="W308" i="23" s="1"/>
  <c r="V307" i="23"/>
  <c r="W307" i="23" s="1"/>
  <c r="V306" i="23"/>
  <c r="W306" i="23" s="1"/>
  <c r="V305" i="23"/>
  <c r="W305" i="23" s="1"/>
  <c r="V304" i="23"/>
  <c r="W304" i="23" s="1"/>
  <c r="V303" i="23"/>
  <c r="W303" i="23" s="1"/>
  <c r="V302" i="23"/>
  <c r="W302" i="23" s="1"/>
  <c r="V301" i="23"/>
  <c r="W301" i="23" s="1"/>
  <c r="V300" i="23"/>
  <c r="W300" i="23" s="1"/>
  <c r="V299" i="23"/>
  <c r="W299" i="23" s="1"/>
  <c r="V298" i="23"/>
  <c r="W298" i="23" s="1"/>
  <c r="V297" i="23"/>
  <c r="W297" i="23" s="1"/>
  <c r="V296" i="23"/>
  <c r="W296" i="23" s="1"/>
  <c r="V295" i="23"/>
  <c r="W295" i="23" s="1"/>
  <c r="V294" i="23"/>
  <c r="W294" i="23" s="1"/>
  <c r="V293" i="23"/>
  <c r="W293" i="23" s="1"/>
  <c r="V292" i="23"/>
  <c r="W292" i="23" s="1"/>
  <c r="V291" i="23"/>
  <c r="W291" i="23" s="1"/>
  <c r="V290" i="23"/>
  <c r="W290" i="23" s="1"/>
  <c r="V289" i="23"/>
  <c r="W289" i="23" s="1"/>
  <c r="V288" i="23"/>
  <c r="W288" i="23" s="1"/>
  <c r="V287" i="23"/>
  <c r="W287" i="23" s="1"/>
  <c r="V286" i="23"/>
  <c r="W286" i="23" s="1"/>
  <c r="V285" i="23"/>
  <c r="W285" i="23" s="1"/>
  <c r="V284" i="23"/>
  <c r="W284" i="23" s="1"/>
  <c r="V283" i="23"/>
  <c r="W283" i="23" s="1"/>
  <c r="V282" i="23"/>
  <c r="W282" i="23" s="1"/>
  <c r="V281" i="23"/>
  <c r="W281" i="23" s="1"/>
  <c r="V280" i="23"/>
  <c r="W280" i="23" s="1"/>
  <c r="V279" i="23"/>
  <c r="W279" i="23" s="1"/>
  <c r="V278" i="23"/>
  <c r="W278" i="23" s="1"/>
  <c r="V277" i="23"/>
  <c r="W277" i="23" s="1"/>
  <c r="V276" i="23"/>
  <c r="W276" i="23" s="1"/>
  <c r="V275" i="23"/>
  <c r="W275" i="23" s="1"/>
  <c r="V274" i="23"/>
  <c r="W274" i="23" s="1"/>
  <c r="V273" i="23"/>
  <c r="W273" i="23" s="1"/>
  <c r="V272" i="23"/>
  <c r="W272" i="23" s="1"/>
  <c r="V271" i="23"/>
  <c r="W271" i="23" s="1"/>
  <c r="V270" i="23"/>
  <c r="W270" i="23" s="1"/>
  <c r="V269" i="23"/>
  <c r="W269" i="23" s="1"/>
  <c r="V268" i="23"/>
  <c r="W268" i="23" s="1"/>
  <c r="V267" i="23"/>
  <c r="W267" i="23" s="1"/>
  <c r="V266" i="23"/>
  <c r="W266" i="23" s="1"/>
  <c r="V265" i="23"/>
  <c r="W265" i="23" s="1"/>
  <c r="V264" i="23"/>
  <c r="W264" i="23" s="1"/>
  <c r="V263" i="23"/>
  <c r="W263" i="23" s="1"/>
  <c r="V262" i="23"/>
  <c r="W262" i="23" s="1"/>
  <c r="V261" i="23"/>
  <c r="W261" i="23" s="1"/>
  <c r="V260" i="23"/>
  <c r="W260" i="23" s="1"/>
  <c r="V259" i="23"/>
  <c r="W259" i="23" s="1"/>
  <c r="V258" i="23"/>
  <c r="W258" i="23" s="1"/>
  <c r="V257" i="23"/>
  <c r="W257" i="23" s="1"/>
  <c r="V256" i="23"/>
  <c r="W256" i="23" s="1"/>
  <c r="V255" i="23"/>
  <c r="W255" i="23" s="1"/>
  <c r="V254" i="23"/>
  <c r="W254" i="23" s="1"/>
  <c r="V253" i="23"/>
  <c r="W253" i="23" s="1"/>
  <c r="V252" i="23"/>
  <c r="W252" i="23" s="1"/>
  <c r="V251" i="23"/>
  <c r="W251" i="23" s="1"/>
  <c r="V250" i="23"/>
  <c r="W250" i="23" s="1"/>
  <c r="V249" i="23"/>
  <c r="W249" i="23" s="1"/>
  <c r="V248" i="23"/>
  <c r="W248" i="23" s="1"/>
  <c r="V247" i="23"/>
  <c r="W247" i="23" s="1"/>
  <c r="V246" i="23"/>
  <c r="W246" i="23" s="1"/>
  <c r="V245" i="23"/>
  <c r="W245" i="23" s="1"/>
  <c r="V244" i="23"/>
  <c r="W244" i="23" s="1"/>
  <c r="V243" i="23"/>
  <c r="W243" i="23" s="1"/>
  <c r="V242" i="23"/>
  <c r="W242" i="23" s="1"/>
  <c r="V241" i="23"/>
  <c r="W241" i="23" s="1"/>
  <c r="V240" i="23"/>
  <c r="W240" i="23" s="1"/>
  <c r="V239" i="23"/>
  <c r="W239" i="23" s="1"/>
  <c r="V238" i="23"/>
  <c r="W238" i="23" s="1"/>
  <c r="V237" i="23"/>
  <c r="W237" i="23" s="1"/>
  <c r="V236" i="23"/>
  <c r="W236" i="23" s="1"/>
  <c r="V235" i="23"/>
  <c r="W235" i="23" s="1"/>
  <c r="V234" i="23"/>
  <c r="W234" i="23" s="1"/>
  <c r="V233" i="23"/>
  <c r="W233" i="23" s="1"/>
  <c r="V232" i="23"/>
  <c r="W232" i="23" s="1"/>
  <c r="V231" i="23"/>
  <c r="W231" i="23" s="1"/>
  <c r="V230" i="23"/>
  <c r="W230" i="23" s="1"/>
  <c r="V229" i="23"/>
  <c r="W229" i="23" s="1"/>
  <c r="V228" i="23"/>
  <c r="W228" i="23" s="1"/>
  <c r="V227" i="23"/>
  <c r="W227" i="23" s="1"/>
  <c r="V226" i="23"/>
  <c r="W226" i="23" s="1"/>
  <c r="V225" i="23"/>
  <c r="W225" i="23" s="1"/>
  <c r="V224" i="23"/>
  <c r="W224" i="23" s="1"/>
  <c r="V223" i="23"/>
  <c r="W223" i="23" s="1"/>
  <c r="V222" i="23"/>
  <c r="W222" i="23" s="1"/>
  <c r="V221" i="23"/>
  <c r="W221" i="23" s="1"/>
  <c r="V220" i="23"/>
  <c r="W220" i="23" s="1"/>
  <c r="V219" i="23"/>
  <c r="W219" i="23" s="1"/>
  <c r="V218" i="23"/>
  <c r="W218" i="23" s="1"/>
  <c r="V217" i="23"/>
  <c r="W217" i="23" s="1"/>
  <c r="V216" i="23"/>
  <c r="W216" i="23" s="1"/>
  <c r="V215" i="23"/>
  <c r="W215" i="23" s="1"/>
  <c r="V214" i="23"/>
  <c r="W214" i="23" s="1"/>
  <c r="V213" i="23"/>
  <c r="W213" i="23" s="1"/>
  <c r="V212" i="23"/>
  <c r="W212" i="23" s="1"/>
  <c r="V211" i="23"/>
  <c r="W211" i="23" s="1"/>
  <c r="V210" i="23"/>
  <c r="W210" i="23" s="1"/>
  <c r="V209" i="23"/>
  <c r="W209" i="23" s="1"/>
  <c r="V208" i="23"/>
  <c r="W208" i="23" s="1"/>
  <c r="V207" i="23"/>
  <c r="W207" i="23" s="1"/>
  <c r="V206" i="23"/>
  <c r="W206" i="23" s="1"/>
  <c r="V205" i="23"/>
  <c r="W205" i="23" s="1"/>
  <c r="V204" i="23"/>
  <c r="W204" i="23" s="1"/>
  <c r="V203" i="23"/>
  <c r="W203" i="23" s="1"/>
  <c r="V202" i="23"/>
  <c r="W202" i="23" s="1"/>
  <c r="V201" i="23"/>
  <c r="W201" i="23" s="1"/>
  <c r="V200" i="23"/>
  <c r="W200" i="23" s="1"/>
  <c r="V199" i="23"/>
  <c r="W199" i="23" s="1"/>
  <c r="V198" i="23"/>
  <c r="W198" i="23" s="1"/>
  <c r="V197" i="23"/>
  <c r="W197" i="23" s="1"/>
  <c r="V196" i="23"/>
  <c r="W196" i="23" s="1"/>
  <c r="V195" i="23"/>
  <c r="W195" i="23" s="1"/>
  <c r="V194" i="23"/>
  <c r="W194" i="23" s="1"/>
  <c r="V193" i="23"/>
  <c r="W193" i="23" s="1"/>
  <c r="V192" i="23"/>
  <c r="W192" i="23" s="1"/>
  <c r="V191" i="23"/>
  <c r="W191" i="23" s="1"/>
  <c r="V190" i="23"/>
  <c r="W190" i="23" s="1"/>
  <c r="V189" i="23"/>
  <c r="W189" i="23" s="1"/>
  <c r="V188" i="23"/>
  <c r="W188" i="23" s="1"/>
  <c r="V187" i="23"/>
  <c r="W187" i="23" s="1"/>
  <c r="V186" i="23"/>
  <c r="W186" i="23" s="1"/>
  <c r="V185" i="23"/>
  <c r="W185" i="23" s="1"/>
  <c r="V184" i="23"/>
  <c r="W184" i="23" s="1"/>
  <c r="V183" i="23"/>
  <c r="W183" i="23" s="1"/>
  <c r="V182" i="23"/>
  <c r="W182" i="23" s="1"/>
  <c r="V181" i="23"/>
  <c r="W181" i="23" s="1"/>
  <c r="V180" i="23"/>
  <c r="W180" i="23" s="1"/>
  <c r="V179" i="23"/>
  <c r="W179" i="23" s="1"/>
  <c r="V178" i="23"/>
  <c r="W178" i="23" s="1"/>
  <c r="V177" i="23"/>
  <c r="W177" i="23" s="1"/>
  <c r="V176" i="23"/>
  <c r="W176" i="23" s="1"/>
  <c r="V175" i="23"/>
  <c r="W175" i="23" s="1"/>
  <c r="V174" i="23"/>
  <c r="W174" i="23" s="1"/>
  <c r="V173" i="23"/>
  <c r="W173" i="23" s="1"/>
  <c r="V172" i="23"/>
  <c r="W172" i="23" s="1"/>
  <c r="V171" i="23"/>
  <c r="W171" i="23" s="1"/>
  <c r="V170" i="23"/>
  <c r="W170" i="23" s="1"/>
  <c r="V169" i="23"/>
  <c r="W169" i="23" s="1"/>
  <c r="V168" i="23"/>
  <c r="W168" i="23" s="1"/>
  <c r="V167" i="23"/>
  <c r="W167" i="23" s="1"/>
  <c r="V166" i="23"/>
  <c r="W166" i="23" s="1"/>
  <c r="V165" i="23"/>
  <c r="W165" i="23" s="1"/>
  <c r="V164" i="23"/>
  <c r="W164" i="23" s="1"/>
  <c r="V163" i="23"/>
  <c r="W163" i="23" s="1"/>
  <c r="V162" i="23"/>
  <c r="W162" i="23" s="1"/>
  <c r="V161" i="23"/>
  <c r="W161" i="23" s="1"/>
  <c r="V160" i="23"/>
  <c r="W160" i="23" s="1"/>
  <c r="V159" i="23"/>
  <c r="W159" i="23" s="1"/>
  <c r="V158" i="23"/>
  <c r="W158" i="23" s="1"/>
  <c r="V157" i="23"/>
  <c r="W157" i="23" s="1"/>
  <c r="V156" i="23"/>
  <c r="W156" i="23" s="1"/>
  <c r="V155" i="23"/>
  <c r="W155" i="23" s="1"/>
  <c r="V154" i="23"/>
  <c r="W154" i="23" s="1"/>
  <c r="V153" i="23"/>
  <c r="W153" i="23" s="1"/>
  <c r="V152" i="23"/>
  <c r="W152" i="23" s="1"/>
  <c r="V151" i="23"/>
  <c r="W151" i="23" s="1"/>
  <c r="V150" i="23"/>
  <c r="W150" i="23" s="1"/>
  <c r="V149" i="23"/>
  <c r="W149" i="23" s="1"/>
  <c r="V148" i="23"/>
  <c r="W148" i="23" s="1"/>
  <c r="V147" i="23"/>
  <c r="W147" i="23" s="1"/>
  <c r="V146" i="23"/>
  <c r="W146" i="23" s="1"/>
  <c r="V145" i="23"/>
  <c r="W145" i="23" s="1"/>
  <c r="V144" i="23"/>
  <c r="W144" i="23" s="1"/>
  <c r="V143" i="23"/>
  <c r="W143" i="23" s="1"/>
  <c r="V142" i="23"/>
  <c r="W142" i="23" s="1"/>
  <c r="V141" i="23"/>
  <c r="W141" i="23" s="1"/>
  <c r="V140" i="23"/>
  <c r="W140" i="23" s="1"/>
  <c r="V139" i="23"/>
  <c r="W139" i="23" s="1"/>
  <c r="V138" i="23"/>
  <c r="W138" i="23" s="1"/>
  <c r="V137" i="23"/>
  <c r="W137" i="23" s="1"/>
  <c r="V136" i="23"/>
  <c r="W136" i="23" s="1"/>
  <c r="V135" i="23"/>
  <c r="W135" i="23" s="1"/>
  <c r="V134" i="23"/>
  <c r="W134" i="23" s="1"/>
  <c r="V133" i="23"/>
  <c r="W133" i="23" s="1"/>
  <c r="V132" i="23"/>
  <c r="W132" i="23" s="1"/>
  <c r="V131" i="23"/>
  <c r="W131" i="23" s="1"/>
  <c r="V130" i="23"/>
  <c r="W130" i="23" s="1"/>
  <c r="V129" i="23"/>
  <c r="W129" i="23" s="1"/>
  <c r="V128" i="23"/>
  <c r="W128" i="23" s="1"/>
  <c r="V127" i="23"/>
  <c r="W127" i="23" s="1"/>
  <c r="V126" i="23"/>
  <c r="W126" i="23" s="1"/>
  <c r="V125" i="23"/>
  <c r="W125" i="23" s="1"/>
  <c r="V124" i="23"/>
  <c r="W124" i="23" s="1"/>
  <c r="V123" i="23"/>
  <c r="W123" i="23" s="1"/>
  <c r="V122" i="23"/>
  <c r="W122" i="23" s="1"/>
  <c r="V121" i="23"/>
  <c r="W121" i="23" s="1"/>
  <c r="V120" i="23"/>
  <c r="W120" i="23" s="1"/>
  <c r="V119" i="23"/>
  <c r="W119" i="23" s="1"/>
  <c r="V118" i="23"/>
  <c r="W118" i="23" s="1"/>
  <c r="V117" i="23"/>
  <c r="W117" i="23" s="1"/>
  <c r="V116" i="23"/>
  <c r="W116" i="23" s="1"/>
  <c r="V115" i="23"/>
  <c r="W115" i="23" s="1"/>
  <c r="V114" i="23"/>
  <c r="W114" i="23" s="1"/>
  <c r="V113" i="23"/>
  <c r="W113" i="23" s="1"/>
  <c r="V112" i="23"/>
  <c r="W112" i="23" s="1"/>
  <c r="V111" i="23"/>
  <c r="W111" i="23" s="1"/>
  <c r="V110" i="23"/>
  <c r="W110" i="23" s="1"/>
  <c r="V109" i="23"/>
  <c r="W109" i="23" s="1"/>
  <c r="V108" i="23"/>
  <c r="W108" i="23" s="1"/>
  <c r="V107" i="23"/>
  <c r="W107" i="23" s="1"/>
  <c r="V106" i="23"/>
  <c r="W106" i="23" s="1"/>
  <c r="V105" i="23"/>
  <c r="W105" i="23" s="1"/>
  <c r="V104" i="23"/>
  <c r="W104" i="23" s="1"/>
  <c r="V103" i="23"/>
  <c r="W103" i="23" s="1"/>
  <c r="V102" i="23"/>
  <c r="W102" i="23" s="1"/>
  <c r="V101" i="23"/>
  <c r="W101" i="23" s="1"/>
  <c r="V100" i="23"/>
  <c r="W100" i="23" s="1"/>
  <c r="V99" i="23"/>
  <c r="W99" i="23" s="1"/>
  <c r="V98" i="23"/>
  <c r="W98" i="23" s="1"/>
  <c r="V97" i="23"/>
  <c r="W97" i="23" s="1"/>
  <c r="V96" i="23"/>
  <c r="W96" i="23" s="1"/>
  <c r="V95" i="23"/>
  <c r="W95" i="23" s="1"/>
  <c r="V94" i="23"/>
  <c r="W94" i="23" s="1"/>
  <c r="V93" i="23"/>
  <c r="W93" i="23" s="1"/>
  <c r="V92" i="23"/>
  <c r="W92" i="23" s="1"/>
  <c r="V91" i="23"/>
  <c r="W91" i="23" s="1"/>
  <c r="V90" i="23"/>
  <c r="W90" i="23" s="1"/>
  <c r="V89" i="23"/>
  <c r="W89" i="23" s="1"/>
  <c r="V88" i="23"/>
  <c r="W88" i="23" s="1"/>
  <c r="V87" i="23"/>
  <c r="W87" i="23" s="1"/>
  <c r="V86" i="23"/>
  <c r="W86" i="23" s="1"/>
  <c r="V85" i="23"/>
  <c r="W85" i="23" s="1"/>
  <c r="V84" i="23"/>
  <c r="W84" i="23" s="1"/>
  <c r="V83" i="23"/>
  <c r="W83" i="23" s="1"/>
  <c r="V82" i="23"/>
  <c r="W82" i="23" s="1"/>
  <c r="V81" i="23"/>
  <c r="W81" i="23" s="1"/>
  <c r="V80" i="23"/>
  <c r="W80" i="23" s="1"/>
  <c r="V79" i="23"/>
  <c r="W79" i="23" s="1"/>
  <c r="V78" i="23"/>
  <c r="W78" i="23" s="1"/>
  <c r="V77" i="23"/>
  <c r="W77" i="23" s="1"/>
  <c r="V76" i="23"/>
  <c r="W76" i="23" s="1"/>
  <c r="V75" i="23"/>
  <c r="W75" i="23" s="1"/>
  <c r="V74" i="23"/>
  <c r="W74" i="23" s="1"/>
  <c r="V73" i="23"/>
  <c r="W73" i="23" s="1"/>
  <c r="V72" i="23"/>
  <c r="W72" i="23" s="1"/>
  <c r="V71" i="23"/>
  <c r="W71" i="23" s="1"/>
  <c r="V70" i="23"/>
  <c r="W70" i="23" s="1"/>
  <c r="V69" i="23"/>
  <c r="W69" i="23" s="1"/>
  <c r="V68" i="23"/>
  <c r="W68" i="23" s="1"/>
  <c r="V67" i="23"/>
  <c r="W67" i="23" s="1"/>
  <c r="V66" i="23"/>
  <c r="W66" i="23" s="1"/>
  <c r="V65" i="23"/>
  <c r="W65" i="23" s="1"/>
  <c r="V64" i="23"/>
  <c r="W64" i="23" s="1"/>
  <c r="V63" i="23"/>
  <c r="W63" i="23" s="1"/>
  <c r="V62" i="23"/>
  <c r="W62" i="23" s="1"/>
  <c r="V61" i="23"/>
  <c r="W61" i="23" s="1"/>
  <c r="V60" i="23"/>
  <c r="W60" i="23" s="1"/>
  <c r="V59" i="23"/>
  <c r="W59" i="23" s="1"/>
  <c r="V58" i="23"/>
  <c r="W58" i="23" s="1"/>
  <c r="V57" i="23"/>
  <c r="W57" i="23" s="1"/>
  <c r="V56" i="23"/>
  <c r="W56" i="23" s="1"/>
  <c r="V55" i="23"/>
  <c r="W55" i="23" s="1"/>
  <c r="V54" i="23"/>
  <c r="W54" i="23" s="1"/>
  <c r="V53" i="23"/>
  <c r="W53" i="23" s="1"/>
  <c r="V52" i="23"/>
  <c r="W52" i="23" s="1"/>
  <c r="V51" i="23"/>
  <c r="W51" i="23" s="1"/>
  <c r="V50" i="23"/>
  <c r="W50" i="23" s="1"/>
  <c r="V49" i="23"/>
  <c r="W49" i="23" s="1"/>
  <c r="V48" i="23"/>
  <c r="W48" i="23" s="1"/>
  <c r="V47" i="23"/>
  <c r="W47" i="23" s="1"/>
  <c r="V46" i="23"/>
  <c r="W46" i="23" s="1"/>
  <c r="V45" i="23"/>
  <c r="W45" i="23" s="1"/>
  <c r="V44" i="23"/>
  <c r="W44" i="23" s="1"/>
  <c r="V43" i="23"/>
  <c r="W43" i="23" s="1"/>
  <c r="V42" i="23"/>
  <c r="W42" i="23" s="1"/>
  <c r="V41" i="23"/>
  <c r="W41" i="23" s="1"/>
  <c r="V40" i="23"/>
  <c r="W40" i="23" s="1"/>
  <c r="V39" i="23"/>
  <c r="W39" i="23" s="1"/>
  <c r="V38" i="23"/>
  <c r="W38" i="23" s="1"/>
  <c r="V37" i="23"/>
  <c r="W37" i="23" s="1"/>
  <c r="V36" i="23"/>
  <c r="W36" i="23" s="1"/>
  <c r="V35" i="23"/>
  <c r="W35" i="23" s="1"/>
  <c r="V34" i="23"/>
  <c r="W34" i="23" s="1"/>
  <c r="V33" i="23"/>
  <c r="W33" i="23" s="1"/>
  <c r="V32" i="23"/>
  <c r="W32" i="23" s="1"/>
  <c r="V31" i="23"/>
  <c r="W31" i="23" s="1"/>
  <c r="V30" i="23"/>
  <c r="W30" i="23" s="1"/>
  <c r="V29" i="23"/>
  <c r="W29" i="23" s="1"/>
  <c r="V28" i="23"/>
  <c r="W28" i="23" s="1"/>
  <c r="V27" i="23"/>
  <c r="W27" i="23" s="1"/>
  <c r="V26" i="23"/>
  <c r="W26" i="23" s="1"/>
  <c r="V25" i="23"/>
  <c r="W25" i="23" s="1"/>
  <c r="V24" i="23"/>
  <c r="W24" i="23" s="1"/>
  <c r="V23" i="23"/>
  <c r="W23" i="23" s="1"/>
  <c r="V22" i="23"/>
  <c r="W22" i="23" s="1"/>
  <c r="V21" i="23"/>
  <c r="W21" i="23" s="1"/>
  <c r="V20" i="23"/>
  <c r="W20" i="23" s="1"/>
  <c r="V19" i="23"/>
  <c r="W19" i="23" s="1"/>
  <c r="V18" i="23"/>
  <c r="W18" i="23" s="1"/>
  <c r="V17" i="23"/>
  <c r="W17" i="23" s="1"/>
  <c r="V16" i="23"/>
  <c r="W16" i="23" s="1"/>
  <c r="V15" i="23"/>
  <c r="W15" i="23" s="1"/>
  <c r="V14" i="23"/>
  <c r="W14" i="23" s="1"/>
  <c r="V13" i="23"/>
  <c r="W13" i="23" s="1"/>
  <c r="V12" i="23"/>
  <c r="W12" i="23" s="1"/>
  <c r="V11" i="23"/>
  <c r="W11" i="23" s="1"/>
  <c r="V10" i="23"/>
  <c r="W10" i="23" s="1"/>
  <c r="V9" i="23"/>
  <c r="W9" i="23" s="1"/>
  <c r="V8" i="23"/>
  <c r="W8" i="23" s="1"/>
  <c r="V421" i="23"/>
  <c r="W421" i="23" s="1"/>
  <c r="Q421" i="23" s="1"/>
  <c r="AE421" i="23"/>
  <c r="AD421" i="23"/>
  <c r="S421" i="23"/>
  <c r="P421" i="23"/>
  <c r="AH421" i="23" s="1"/>
  <c r="O421" i="23"/>
  <c r="N421" i="23"/>
  <c r="M421" i="23"/>
  <c r="AE420" i="23"/>
  <c r="AD420" i="23"/>
  <c r="S420" i="23"/>
  <c r="P420" i="23"/>
  <c r="AJ420" i="23" s="1"/>
  <c r="O420" i="23"/>
  <c r="N420" i="23"/>
  <c r="M420" i="23"/>
  <c r="AE419" i="23"/>
  <c r="AD419" i="23"/>
  <c r="S419" i="23"/>
  <c r="P419" i="23"/>
  <c r="AH419" i="23" s="1"/>
  <c r="O419" i="23"/>
  <c r="N419" i="23"/>
  <c r="M419" i="23"/>
  <c r="AE418" i="23"/>
  <c r="AD418" i="23"/>
  <c r="S418" i="23"/>
  <c r="P418" i="23"/>
  <c r="AJ418" i="23" s="1"/>
  <c r="O418" i="23"/>
  <c r="N418" i="23"/>
  <c r="M418" i="23"/>
  <c r="AE417" i="23"/>
  <c r="AD417" i="23"/>
  <c r="S417" i="23"/>
  <c r="P417" i="23"/>
  <c r="AH417" i="23" s="1"/>
  <c r="O417" i="23"/>
  <c r="N417" i="23"/>
  <c r="M417" i="23"/>
  <c r="AE416" i="23"/>
  <c r="AD416" i="23"/>
  <c r="S416" i="23"/>
  <c r="P416" i="23"/>
  <c r="AJ416" i="23" s="1"/>
  <c r="O416" i="23"/>
  <c r="N416" i="23"/>
  <c r="M416" i="23"/>
  <c r="AE415" i="23"/>
  <c r="AD415" i="23"/>
  <c r="S415" i="23"/>
  <c r="P415" i="23"/>
  <c r="AH415" i="23" s="1"/>
  <c r="O415" i="23"/>
  <c r="N415" i="23"/>
  <c r="M415" i="23"/>
  <c r="AE414" i="23"/>
  <c r="AD414" i="23"/>
  <c r="Y414" i="23" s="1"/>
  <c r="Z414" i="23" s="1"/>
  <c r="S414" i="23"/>
  <c r="P414" i="23"/>
  <c r="AJ414" i="23" s="1"/>
  <c r="O414" i="23"/>
  <c r="N414" i="23"/>
  <c r="M414" i="23"/>
  <c r="AE413" i="23"/>
  <c r="AD413" i="23"/>
  <c r="Y413" i="23" s="1"/>
  <c r="Z413" i="23" s="1"/>
  <c r="S413" i="23"/>
  <c r="P413" i="23"/>
  <c r="AH413" i="23" s="1"/>
  <c r="O413" i="23"/>
  <c r="N413" i="23"/>
  <c r="M413" i="23"/>
  <c r="AE412" i="23"/>
  <c r="AD412" i="23"/>
  <c r="Y412" i="23" s="1"/>
  <c r="Z412" i="23" s="1"/>
  <c r="S412" i="23"/>
  <c r="P412" i="23"/>
  <c r="AJ412" i="23" s="1"/>
  <c r="O412" i="23"/>
  <c r="N412" i="23"/>
  <c r="M412" i="23"/>
  <c r="AE411" i="23"/>
  <c r="AD411" i="23"/>
  <c r="S411" i="23"/>
  <c r="P411" i="23"/>
  <c r="AH411" i="23" s="1"/>
  <c r="O411" i="23"/>
  <c r="N411" i="23"/>
  <c r="M411" i="23"/>
  <c r="AE410" i="23"/>
  <c r="AD410" i="23"/>
  <c r="S410" i="23"/>
  <c r="P410" i="23"/>
  <c r="AJ410" i="23" s="1"/>
  <c r="O410" i="23"/>
  <c r="N410" i="23"/>
  <c r="M410" i="23"/>
  <c r="AE409" i="23"/>
  <c r="AD409" i="23"/>
  <c r="Y409" i="23" s="1"/>
  <c r="Z409" i="23" s="1"/>
  <c r="S409" i="23"/>
  <c r="P409" i="23"/>
  <c r="AH409" i="23" s="1"/>
  <c r="O409" i="23"/>
  <c r="N409" i="23"/>
  <c r="M409" i="23"/>
  <c r="AE408" i="23"/>
  <c r="AD408" i="23"/>
  <c r="Y408" i="23" s="1"/>
  <c r="Z408" i="23" s="1"/>
  <c r="S408" i="23"/>
  <c r="P408" i="23"/>
  <c r="AJ408" i="23" s="1"/>
  <c r="O408" i="23"/>
  <c r="N408" i="23"/>
  <c r="M408" i="23"/>
  <c r="AE407" i="23"/>
  <c r="AD407" i="23"/>
  <c r="Y407" i="23" s="1"/>
  <c r="Z407" i="23" s="1"/>
  <c r="S407" i="23"/>
  <c r="P407" i="23"/>
  <c r="AH407" i="23" s="1"/>
  <c r="O407" i="23"/>
  <c r="N407" i="23"/>
  <c r="M407" i="23"/>
  <c r="AE406" i="23"/>
  <c r="AD406" i="23"/>
  <c r="S406" i="23"/>
  <c r="O406" i="23"/>
  <c r="N406" i="23"/>
  <c r="M406" i="23"/>
  <c r="AE405" i="23"/>
  <c r="AD405" i="23"/>
  <c r="S405" i="23"/>
  <c r="P405" i="23"/>
  <c r="O405" i="23"/>
  <c r="N405" i="23"/>
  <c r="M405" i="23"/>
  <c r="AE404" i="23"/>
  <c r="AD404" i="23"/>
  <c r="Y404" i="23" s="1"/>
  <c r="Z404" i="23" s="1"/>
  <c r="S404" i="23"/>
  <c r="P404" i="23"/>
  <c r="AJ404" i="23" s="1"/>
  <c r="O404" i="23"/>
  <c r="N404" i="23"/>
  <c r="M404" i="23"/>
  <c r="AE403" i="23"/>
  <c r="AD403" i="23"/>
  <c r="Y403" i="23" s="1"/>
  <c r="Z403" i="23" s="1"/>
  <c r="S403" i="23"/>
  <c r="P403" i="23"/>
  <c r="AH403" i="23" s="1"/>
  <c r="O403" i="23"/>
  <c r="N403" i="23"/>
  <c r="M403" i="23"/>
  <c r="AE402" i="23"/>
  <c r="AD402" i="23"/>
  <c r="S402" i="23"/>
  <c r="P402" i="23"/>
  <c r="AJ402" i="23" s="1"/>
  <c r="O402" i="23"/>
  <c r="N402" i="23"/>
  <c r="M402" i="23"/>
  <c r="AE401" i="23"/>
  <c r="AD401" i="23"/>
  <c r="S401" i="23"/>
  <c r="P401" i="23"/>
  <c r="AJ401" i="23" s="1"/>
  <c r="O401" i="23"/>
  <c r="N401" i="23"/>
  <c r="M401" i="23"/>
  <c r="AE400" i="23"/>
  <c r="AD400" i="23"/>
  <c r="S400" i="23"/>
  <c r="P400" i="23"/>
  <c r="AJ400" i="23" s="1"/>
  <c r="O400" i="23"/>
  <c r="N400" i="23"/>
  <c r="M400" i="23"/>
  <c r="AE399" i="23"/>
  <c r="AD399" i="23"/>
  <c r="S399" i="23"/>
  <c r="P399" i="23"/>
  <c r="AJ399" i="23" s="1"/>
  <c r="O399" i="23"/>
  <c r="N399" i="23"/>
  <c r="M399" i="23"/>
  <c r="AE398" i="23"/>
  <c r="AD398" i="23"/>
  <c r="S398" i="23"/>
  <c r="P398" i="23"/>
  <c r="AJ398" i="23" s="1"/>
  <c r="O398" i="23"/>
  <c r="N398" i="23"/>
  <c r="M398" i="23"/>
  <c r="AE397" i="23"/>
  <c r="AD397" i="23"/>
  <c r="S397" i="23"/>
  <c r="P397" i="23"/>
  <c r="AJ397" i="23" s="1"/>
  <c r="O397" i="23"/>
  <c r="N397" i="23"/>
  <c r="M397" i="23"/>
  <c r="AE396" i="23"/>
  <c r="AD396" i="23"/>
  <c r="S396" i="23"/>
  <c r="P396" i="23"/>
  <c r="AJ396" i="23" s="1"/>
  <c r="O396" i="23"/>
  <c r="N396" i="23"/>
  <c r="M396" i="23"/>
  <c r="C15" i="3"/>
  <c r="C60" i="3"/>
  <c r="C9" i="3"/>
  <c r="C78" i="3"/>
  <c r="C77" i="3"/>
  <c r="C17" i="3"/>
  <c r="C10" i="3"/>
  <c r="C4" i="3"/>
  <c r="C3" i="3"/>
  <c r="C11" i="3"/>
  <c r="C12" i="3"/>
  <c r="C7" i="3"/>
  <c r="C13" i="3"/>
  <c r="C5" i="3"/>
  <c r="C8" i="3"/>
  <c r="T433" i="23" l="1"/>
  <c r="R433" i="23" s="1"/>
  <c r="T432" i="23"/>
  <c r="R432" i="23" s="1"/>
  <c r="T434" i="23"/>
  <c r="R434" i="23" s="1"/>
  <c r="T418" i="23"/>
  <c r="T416" i="23"/>
  <c r="T415" i="23"/>
  <c r="T413" i="23"/>
  <c r="T412" i="23"/>
  <c r="T417" i="23"/>
  <c r="T414" i="23"/>
  <c r="R414" i="23" s="1"/>
  <c r="T402" i="23"/>
  <c r="T423" i="23"/>
  <c r="T424" i="23"/>
  <c r="T420" i="23"/>
  <c r="T419" i="23"/>
  <c r="T407" i="23"/>
  <c r="R407" i="23" s="1"/>
  <c r="T409" i="23"/>
  <c r="T408" i="23"/>
  <c r="R408" i="23" s="1"/>
  <c r="T431" i="23"/>
  <c r="T429" i="23"/>
  <c r="T430" i="23"/>
  <c r="T421" i="23"/>
  <c r="T400" i="23"/>
  <c r="T399" i="23"/>
  <c r="T411" i="23"/>
  <c r="T422" i="23"/>
  <c r="T428" i="23"/>
  <c r="T427" i="23"/>
  <c r="T426" i="23"/>
  <c r="T425" i="23"/>
  <c r="R425" i="23" s="1"/>
  <c r="T410" i="23"/>
  <c r="T401" i="23"/>
  <c r="T398" i="23"/>
  <c r="T397" i="23"/>
  <c r="T396" i="23"/>
  <c r="R424" i="23"/>
  <c r="R412" i="23"/>
  <c r="R409" i="23"/>
  <c r="R413" i="23"/>
  <c r="AA404" i="23"/>
  <c r="X404" i="23"/>
  <c r="AC404" i="23"/>
  <c r="U404" i="23" s="1"/>
  <c r="AB404" i="23"/>
  <c r="AC413" i="23"/>
  <c r="U413" i="23" s="1"/>
  <c r="X413" i="23"/>
  <c r="AB413" i="23"/>
  <c r="AA413" i="23"/>
  <c r="AA412" i="23"/>
  <c r="X412" i="23"/>
  <c r="AC412" i="23"/>
  <c r="U412" i="23" s="1"/>
  <c r="AB412" i="23"/>
  <c r="AA407" i="23"/>
  <c r="AB407" i="23"/>
  <c r="X407" i="23"/>
  <c r="AC407" i="23"/>
  <c r="U407" i="23" s="1"/>
  <c r="AB414" i="23"/>
  <c r="AC414" i="23"/>
  <c r="U414" i="23" s="1"/>
  <c r="X414" i="23"/>
  <c r="AA414" i="23"/>
  <c r="AC409" i="23"/>
  <c r="X409" i="23"/>
  <c r="AB409" i="23"/>
  <c r="AA409" i="23"/>
  <c r="AA403" i="23"/>
  <c r="AB403" i="23"/>
  <c r="AC403" i="23"/>
  <c r="U403" i="23" s="1"/>
  <c r="X403" i="23"/>
  <c r="AA408" i="23"/>
  <c r="AC408" i="23"/>
  <c r="U408" i="23" s="1"/>
  <c r="AB408" i="23"/>
  <c r="X408" i="23"/>
  <c r="U409" i="23"/>
  <c r="W401" i="23"/>
  <c r="W417" i="23"/>
  <c r="W397" i="23"/>
  <c r="W405" i="23"/>
  <c r="AH400" i="23"/>
  <c r="Q407" i="23"/>
  <c r="Q403" i="23"/>
  <c r="Q409" i="23"/>
  <c r="AJ403" i="23"/>
  <c r="Q408" i="23"/>
  <c r="Q413" i="23"/>
  <c r="Q404" i="23"/>
  <c r="AH396" i="23"/>
  <c r="AH405" i="23"/>
  <c r="AJ405" i="23"/>
  <c r="Q412" i="23"/>
  <c r="Q414" i="23"/>
  <c r="AJ407" i="23"/>
  <c r="AJ409" i="23"/>
  <c r="AJ411" i="23"/>
  <c r="AJ413" i="23"/>
  <c r="AJ415" i="23"/>
  <c r="AJ417" i="23"/>
  <c r="AJ419" i="23"/>
  <c r="AJ421" i="23"/>
  <c r="AH404" i="23"/>
  <c r="AH406" i="23"/>
  <c r="AH408" i="23"/>
  <c r="AH410" i="23"/>
  <c r="AH412" i="23"/>
  <c r="AH414" i="23"/>
  <c r="AH416" i="23"/>
  <c r="AH418" i="23"/>
  <c r="AH420" i="23"/>
  <c r="AH398" i="23"/>
  <c r="AH402" i="23"/>
  <c r="AH397" i="23"/>
  <c r="AH399" i="23"/>
  <c r="AH401" i="23"/>
  <c r="AE395" i="23"/>
  <c r="AD395" i="23"/>
  <c r="Q395" i="23"/>
  <c r="T395" i="23"/>
  <c r="S395" i="23"/>
  <c r="P395" i="23"/>
  <c r="AJ395" i="23" s="1"/>
  <c r="O395" i="23"/>
  <c r="N395" i="23"/>
  <c r="M395" i="23"/>
  <c r="AE394" i="23"/>
  <c r="AD394" i="23"/>
  <c r="Q394" i="23"/>
  <c r="T394" i="23"/>
  <c r="S394" i="23"/>
  <c r="P394" i="23"/>
  <c r="AJ394" i="23" s="1"/>
  <c r="O394" i="23"/>
  <c r="N394" i="23"/>
  <c r="M394" i="23"/>
  <c r="AE393" i="23"/>
  <c r="AD393" i="23"/>
  <c r="Q393" i="23"/>
  <c r="T393" i="23"/>
  <c r="S393" i="23"/>
  <c r="P393" i="23"/>
  <c r="AJ393" i="23" s="1"/>
  <c r="O393" i="23"/>
  <c r="N393" i="23"/>
  <c r="M393" i="23"/>
  <c r="AE392" i="23"/>
  <c r="AD392" i="23"/>
  <c r="Y392" i="23" s="1"/>
  <c r="Z392" i="23" s="1"/>
  <c r="Q392" i="23"/>
  <c r="T392" i="23"/>
  <c r="S392" i="23"/>
  <c r="P392" i="23"/>
  <c r="AJ392" i="23" s="1"/>
  <c r="O392" i="23"/>
  <c r="N392" i="23"/>
  <c r="M392" i="23"/>
  <c r="AE391" i="23"/>
  <c r="AD391" i="23"/>
  <c r="Q391" i="23"/>
  <c r="T391" i="23"/>
  <c r="S391" i="23"/>
  <c r="P391" i="23"/>
  <c r="AJ391" i="23" s="1"/>
  <c r="O391" i="23"/>
  <c r="N391" i="23"/>
  <c r="M391" i="23"/>
  <c r="AE390" i="23"/>
  <c r="AD390" i="23"/>
  <c r="Q390" i="23"/>
  <c r="T390" i="23"/>
  <c r="S390" i="23"/>
  <c r="P390" i="23"/>
  <c r="AH390" i="23" s="1"/>
  <c r="O390" i="23"/>
  <c r="N390" i="23"/>
  <c r="M390" i="23"/>
  <c r="AE389" i="23"/>
  <c r="AD389" i="23"/>
  <c r="Q389" i="23"/>
  <c r="T389" i="23"/>
  <c r="S389" i="23"/>
  <c r="P389" i="23"/>
  <c r="AJ389" i="23" s="1"/>
  <c r="O389" i="23"/>
  <c r="N389" i="23"/>
  <c r="M389" i="23"/>
  <c r="AE388" i="23"/>
  <c r="AD388" i="23"/>
  <c r="Q388" i="23"/>
  <c r="T388" i="23"/>
  <c r="S388" i="23"/>
  <c r="P388" i="23"/>
  <c r="AH388" i="23" s="1"/>
  <c r="O388" i="23"/>
  <c r="N388" i="23"/>
  <c r="M388" i="23"/>
  <c r="AE387" i="23"/>
  <c r="AD387" i="23"/>
  <c r="Y387" i="23" s="1"/>
  <c r="Z387" i="23" s="1"/>
  <c r="T387" i="23"/>
  <c r="S387" i="23"/>
  <c r="P387" i="23"/>
  <c r="AJ387" i="23" s="1"/>
  <c r="O387" i="23"/>
  <c r="N387" i="23"/>
  <c r="M387" i="23"/>
  <c r="AE386" i="23"/>
  <c r="AD386" i="23"/>
  <c r="Q386" i="23"/>
  <c r="T386" i="23"/>
  <c r="S386" i="23"/>
  <c r="P386" i="23"/>
  <c r="AH386" i="23" s="1"/>
  <c r="O386" i="23"/>
  <c r="N386" i="23"/>
  <c r="M386" i="23"/>
  <c r="AE385" i="23"/>
  <c r="AD385" i="23"/>
  <c r="Q385" i="23"/>
  <c r="T385" i="23"/>
  <c r="S385" i="23"/>
  <c r="P385" i="23"/>
  <c r="AJ385" i="23" s="1"/>
  <c r="O385" i="23"/>
  <c r="N385" i="23"/>
  <c r="M385" i="23"/>
  <c r="AE384" i="23"/>
  <c r="AD384" i="23"/>
  <c r="Q384" i="23"/>
  <c r="T384" i="23"/>
  <c r="S384" i="23"/>
  <c r="P384" i="23"/>
  <c r="AH384" i="23" s="1"/>
  <c r="O384" i="23"/>
  <c r="N384" i="23"/>
  <c r="M384" i="23"/>
  <c r="AE383" i="23"/>
  <c r="AD383" i="23"/>
  <c r="Q383" i="23"/>
  <c r="T383" i="23"/>
  <c r="S383" i="23"/>
  <c r="P383" i="23"/>
  <c r="AJ383" i="23" s="1"/>
  <c r="O383" i="23"/>
  <c r="N383" i="23"/>
  <c r="M383" i="23"/>
  <c r="AE382" i="23"/>
  <c r="AD382" i="23"/>
  <c r="Q382" i="23"/>
  <c r="T382" i="23"/>
  <c r="S382" i="23"/>
  <c r="P382" i="23"/>
  <c r="AH382" i="23" s="1"/>
  <c r="O382" i="23"/>
  <c r="N382" i="23"/>
  <c r="M382" i="23"/>
  <c r="AE381" i="23"/>
  <c r="AD381" i="23"/>
  <c r="Y381" i="23" s="1"/>
  <c r="Z381" i="23" s="1"/>
  <c r="Q381" i="23"/>
  <c r="T381" i="23"/>
  <c r="S381" i="23"/>
  <c r="P381" i="23"/>
  <c r="AJ381" i="23" s="1"/>
  <c r="O381" i="23"/>
  <c r="N381" i="23"/>
  <c r="M381" i="23"/>
  <c r="AC420" i="23"/>
  <c r="AC410" i="23"/>
  <c r="AC427" i="23"/>
  <c r="AC426" i="23"/>
  <c r="AC415" i="23"/>
  <c r="AC430" i="23"/>
  <c r="AC428" i="23"/>
  <c r="AC396" i="23"/>
  <c r="AC423" i="23"/>
  <c r="AC421" i="23"/>
  <c r="AC417" i="23"/>
  <c r="AC429" i="23"/>
  <c r="AC422" i="23"/>
  <c r="AC399" i="23"/>
  <c r="AC402" i="23"/>
  <c r="AC397" i="23"/>
  <c r="AC419" i="23"/>
  <c r="AC416" i="23"/>
  <c r="AC431" i="23"/>
  <c r="AC398" i="23"/>
  <c r="AC418" i="23"/>
  <c r="AC411" i="23"/>
  <c r="AC401" i="23"/>
  <c r="AC400" i="23"/>
  <c r="U428" i="23" l="1"/>
  <c r="U431" i="23"/>
  <c r="U422" i="23"/>
  <c r="U426" i="23"/>
  <c r="U430" i="23"/>
  <c r="U427" i="23"/>
  <c r="U429" i="23"/>
  <c r="U423" i="23"/>
  <c r="R392" i="23"/>
  <c r="R381" i="23"/>
  <c r="R387" i="23"/>
  <c r="AA387" i="23"/>
  <c r="X387" i="23"/>
  <c r="AC387" i="23"/>
  <c r="U387" i="23" s="1"/>
  <c r="AB387" i="23"/>
  <c r="AC381" i="23"/>
  <c r="U381" i="23" s="1"/>
  <c r="X381" i="23"/>
  <c r="AB381" i="23"/>
  <c r="AA381" i="23"/>
  <c r="AA392" i="23"/>
  <c r="AC392" i="23"/>
  <c r="U392" i="23" s="1"/>
  <c r="AB392" i="23"/>
  <c r="X392" i="23"/>
  <c r="U410" i="23"/>
  <c r="U419" i="23"/>
  <c r="U421" i="23"/>
  <c r="U398" i="23"/>
  <c r="U396" i="23"/>
  <c r="U418" i="23"/>
  <c r="U402" i="23"/>
  <c r="U400" i="23"/>
  <c r="U420" i="23"/>
  <c r="U411" i="23"/>
  <c r="U416" i="23"/>
  <c r="U415" i="23"/>
  <c r="U399" i="23"/>
  <c r="U417" i="23"/>
  <c r="U397" i="23"/>
  <c r="U401" i="23"/>
  <c r="Q405" i="23"/>
  <c r="Q417" i="23"/>
  <c r="Q397" i="23"/>
  <c r="Q401" i="23"/>
  <c r="AH392" i="23"/>
  <c r="AH394" i="23"/>
  <c r="AH395" i="23"/>
  <c r="Q387" i="23"/>
  <c r="AJ382" i="23"/>
  <c r="AJ384" i="23"/>
  <c r="AJ386" i="23"/>
  <c r="AJ388" i="23"/>
  <c r="AJ390" i="23"/>
  <c r="AH381" i="23"/>
  <c r="AH383" i="23"/>
  <c r="AH385" i="23"/>
  <c r="AH387" i="23"/>
  <c r="AH389" i="23"/>
  <c r="AH391" i="23"/>
  <c r="AH393" i="23"/>
  <c r="M314" i="23"/>
  <c r="AE380" i="23"/>
  <c r="AD380" i="23"/>
  <c r="S380" i="23"/>
  <c r="P380" i="23"/>
  <c r="AJ380" i="23" s="1"/>
  <c r="O380" i="23"/>
  <c r="N380" i="23"/>
  <c r="M380" i="23"/>
  <c r="AE379" i="23"/>
  <c r="AD379" i="23"/>
  <c r="S379" i="23"/>
  <c r="P379" i="23"/>
  <c r="AJ379" i="23" s="1"/>
  <c r="O379" i="23"/>
  <c r="N379" i="23"/>
  <c r="M379" i="23"/>
  <c r="AE378" i="23"/>
  <c r="AD378" i="23"/>
  <c r="S378" i="23"/>
  <c r="P378" i="23"/>
  <c r="AJ378" i="23" s="1"/>
  <c r="O378" i="23"/>
  <c r="N378" i="23"/>
  <c r="M378" i="23"/>
  <c r="AE377" i="23"/>
  <c r="AD377" i="23"/>
  <c r="S377" i="23"/>
  <c r="P377" i="23"/>
  <c r="AJ377" i="23" s="1"/>
  <c r="O377" i="23"/>
  <c r="N377" i="23"/>
  <c r="M377" i="23"/>
  <c r="AE376" i="23"/>
  <c r="AD376" i="23"/>
  <c r="S376" i="23"/>
  <c r="P376" i="23"/>
  <c r="AJ376" i="23" s="1"/>
  <c r="O376" i="23"/>
  <c r="N376" i="23"/>
  <c r="M376" i="23"/>
  <c r="AE375" i="23"/>
  <c r="AD375" i="23"/>
  <c r="T375" i="23"/>
  <c r="S375" i="23"/>
  <c r="P375" i="23"/>
  <c r="AJ375" i="23" s="1"/>
  <c r="O375" i="23"/>
  <c r="N375" i="23"/>
  <c r="M375" i="23"/>
  <c r="AE374" i="23"/>
  <c r="AD374" i="23"/>
  <c r="T374" i="23"/>
  <c r="S374" i="23"/>
  <c r="P374" i="23"/>
  <c r="AJ374" i="23" s="1"/>
  <c r="O374" i="23"/>
  <c r="N374" i="23"/>
  <c r="M374" i="23"/>
  <c r="AE373" i="23"/>
  <c r="AD373" i="23"/>
  <c r="T373" i="23"/>
  <c r="S373" i="23"/>
  <c r="P373" i="23"/>
  <c r="AJ373" i="23" s="1"/>
  <c r="O373" i="23"/>
  <c r="N373" i="23"/>
  <c r="M373" i="23"/>
  <c r="AE372" i="23"/>
  <c r="AD372" i="23"/>
  <c r="Y372" i="23" s="1"/>
  <c r="Z372" i="23" s="1"/>
  <c r="T372" i="23"/>
  <c r="S372" i="23"/>
  <c r="P372" i="23"/>
  <c r="AJ372" i="23" s="1"/>
  <c r="O372" i="23"/>
  <c r="N372" i="23"/>
  <c r="M372" i="23"/>
  <c r="AE371" i="23"/>
  <c r="AD371" i="23"/>
  <c r="S371" i="23"/>
  <c r="P371" i="23"/>
  <c r="AJ371" i="23" s="1"/>
  <c r="O371" i="23"/>
  <c r="N371" i="23"/>
  <c r="M371" i="23"/>
  <c r="AE370" i="23"/>
  <c r="AD370" i="23"/>
  <c r="S370" i="23"/>
  <c r="P370" i="23"/>
  <c r="AJ370" i="23" s="1"/>
  <c r="O370" i="23"/>
  <c r="N370" i="23"/>
  <c r="M370" i="23"/>
  <c r="AE369" i="23"/>
  <c r="AD369" i="23"/>
  <c r="S369" i="23"/>
  <c r="P369" i="23"/>
  <c r="AJ369" i="23" s="1"/>
  <c r="O369" i="23"/>
  <c r="N369" i="23"/>
  <c r="M369" i="23"/>
  <c r="AE368" i="23"/>
  <c r="AD368" i="23"/>
  <c r="S368" i="23"/>
  <c r="P368" i="23"/>
  <c r="AJ368" i="23" s="1"/>
  <c r="O368" i="23"/>
  <c r="N368" i="23"/>
  <c r="M368" i="23"/>
  <c r="AE367" i="23"/>
  <c r="AD367" i="23"/>
  <c r="S367" i="23"/>
  <c r="P367" i="23"/>
  <c r="AJ367" i="23" s="1"/>
  <c r="O367" i="23"/>
  <c r="N367" i="23"/>
  <c r="M367" i="23"/>
  <c r="AE366" i="23"/>
  <c r="AD366" i="23"/>
  <c r="S366" i="23"/>
  <c r="P366" i="23"/>
  <c r="AJ366" i="23" s="1"/>
  <c r="O366" i="23"/>
  <c r="N366" i="23"/>
  <c r="M366" i="23"/>
  <c r="AE365" i="23"/>
  <c r="AD365" i="23"/>
  <c r="Y365" i="23" s="1"/>
  <c r="Z365" i="23" s="1"/>
  <c r="S365" i="23"/>
  <c r="P365" i="23"/>
  <c r="AJ365" i="23" s="1"/>
  <c r="O365" i="23"/>
  <c r="N365" i="23"/>
  <c r="M365" i="23"/>
  <c r="AE364" i="23"/>
  <c r="AD364" i="23"/>
  <c r="Y364" i="23" s="1"/>
  <c r="Z364" i="23" s="1"/>
  <c r="S364" i="23"/>
  <c r="P364" i="23"/>
  <c r="AJ364" i="23" s="1"/>
  <c r="O364" i="23"/>
  <c r="N364" i="23"/>
  <c r="M364" i="23"/>
  <c r="AE363" i="23"/>
  <c r="AD363" i="23"/>
  <c r="S363" i="23"/>
  <c r="P363" i="23"/>
  <c r="AJ363" i="23" s="1"/>
  <c r="O363" i="23"/>
  <c r="N363" i="23"/>
  <c r="M363" i="23"/>
  <c r="AE362" i="23"/>
  <c r="AD362" i="23"/>
  <c r="S362" i="23"/>
  <c r="P362" i="23"/>
  <c r="AJ362" i="23" s="1"/>
  <c r="O362" i="23"/>
  <c r="N362" i="23"/>
  <c r="M362" i="23"/>
  <c r="AE361" i="23"/>
  <c r="AD361" i="23"/>
  <c r="S361" i="23"/>
  <c r="P361" i="23"/>
  <c r="AJ361" i="23" s="1"/>
  <c r="O361" i="23"/>
  <c r="N361" i="23"/>
  <c r="M361" i="23"/>
  <c r="AE360" i="23"/>
  <c r="AD360" i="23"/>
  <c r="S360" i="23"/>
  <c r="P360" i="23"/>
  <c r="AJ360" i="23" s="1"/>
  <c r="O360" i="23"/>
  <c r="N360" i="23"/>
  <c r="M360" i="23"/>
  <c r="AE359" i="23"/>
  <c r="AD359" i="23"/>
  <c r="S359" i="23"/>
  <c r="P359" i="23"/>
  <c r="AJ359" i="23" s="1"/>
  <c r="O359" i="23"/>
  <c r="N359" i="23"/>
  <c r="M359" i="23"/>
  <c r="AE358" i="23"/>
  <c r="AD358" i="23"/>
  <c r="S358" i="23"/>
  <c r="P358" i="23"/>
  <c r="AJ358" i="23" s="1"/>
  <c r="O358" i="23"/>
  <c r="N358" i="23"/>
  <c r="M358" i="23"/>
  <c r="AE357" i="23"/>
  <c r="AD357" i="23"/>
  <c r="S357" i="23"/>
  <c r="P357" i="23"/>
  <c r="AJ357" i="23" s="1"/>
  <c r="O357" i="23"/>
  <c r="N357" i="23"/>
  <c r="M357" i="23"/>
  <c r="AE356" i="23"/>
  <c r="AD356" i="23"/>
  <c r="S356" i="23"/>
  <c r="P356" i="23"/>
  <c r="AJ356" i="23" s="1"/>
  <c r="O356" i="23"/>
  <c r="N356" i="23"/>
  <c r="M356" i="23"/>
  <c r="AE355" i="23"/>
  <c r="AD355" i="23"/>
  <c r="S355" i="23"/>
  <c r="P355" i="23"/>
  <c r="AJ355" i="23" s="1"/>
  <c r="O355" i="23"/>
  <c r="N355" i="23"/>
  <c r="M355" i="23"/>
  <c r="AE354" i="23"/>
  <c r="AD354" i="23"/>
  <c r="S354" i="23"/>
  <c r="P354" i="23"/>
  <c r="AJ354" i="23" s="1"/>
  <c r="O354" i="23"/>
  <c r="N354" i="23"/>
  <c r="M354" i="23"/>
  <c r="AE353" i="23"/>
  <c r="AD353" i="23"/>
  <c r="S353" i="23"/>
  <c r="P353" i="23"/>
  <c r="AJ353" i="23" s="1"/>
  <c r="O353" i="23"/>
  <c r="N353" i="23"/>
  <c r="M353" i="23"/>
  <c r="Y420" i="23"/>
  <c r="AC382" i="23"/>
  <c r="AC383" i="23"/>
  <c r="X420" i="23"/>
  <c r="AA420" i="23"/>
  <c r="AB420" i="23"/>
  <c r="AA410" i="23"/>
  <c r="Y410" i="23"/>
  <c r="X410" i="23"/>
  <c r="AB410" i="23"/>
  <c r="AC384" i="23"/>
  <c r="AB427" i="23"/>
  <c r="AA427" i="23"/>
  <c r="X427" i="23"/>
  <c r="Y427" i="23"/>
  <c r="AB426" i="23"/>
  <c r="Y426" i="23"/>
  <c r="AA426" i="23"/>
  <c r="X426" i="23"/>
  <c r="X415" i="23"/>
  <c r="Y415" i="23"/>
  <c r="AA415" i="23"/>
  <c r="AB415" i="23"/>
  <c r="AB428" i="23"/>
  <c r="AA430" i="23"/>
  <c r="AB431" i="23"/>
  <c r="Y422" i="23"/>
  <c r="AB429" i="23"/>
  <c r="AA423" i="23"/>
  <c r="AA421" i="23"/>
  <c r="Y400" i="23"/>
  <c r="AA416" i="23"/>
  <c r="AC395" i="23"/>
  <c r="AC385" i="23"/>
  <c r="AA399" i="23"/>
  <c r="X419" i="23"/>
  <c r="AC390" i="23"/>
  <c r="AB396" i="23"/>
  <c r="Y416" i="23"/>
  <c r="AA401" i="23"/>
  <c r="AA398" i="23"/>
  <c r="AB402" i="23"/>
  <c r="AC389" i="23"/>
  <c r="Y396" i="23"/>
  <c r="AA417" i="23"/>
  <c r="Y417" i="23"/>
  <c r="Y399" i="23"/>
  <c r="X421" i="23"/>
  <c r="Y421" i="23"/>
  <c r="AC386" i="23"/>
  <c r="X431" i="23"/>
  <c r="Y423" i="23"/>
  <c r="AB399" i="23"/>
  <c r="X416" i="23"/>
  <c r="X396" i="23"/>
  <c r="X398" i="23"/>
  <c r="AB397" i="23"/>
  <c r="X399" i="23"/>
  <c r="Y428" i="23"/>
  <c r="X430" i="23"/>
  <c r="AA431" i="23"/>
  <c r="X422" i="23"/>
  <c r="X429" i="23"/>
  <c r="X423" i="23"/>
  <c r="X400" i="23"/>
  <c r="AB416" i="23"/>
  <c r="X401" i="23"/>
  <c r="AB421" i="23"/>
  <c r="AA396" i="23"/>
  <c r="Y419" i="23"/>
  <c r="AA418" i="23"/>
  <c r="AB400" i="23"/>
  <c r="X428" i="23"/>
  <c r="AB422" i="23"/>
  <c r="Y398" i="23"/>
  <c r="AB417" i="23"/>
  <c r="X402" i="23"/>
  <c r="AA402" i="23"/>
  <c r="Y401" i="23"/>
  <c r="AA428" i="23"/>
  <c r="AB430" i="23"/>
  <c r="Y431" i="23"/>
  <c r="AA422" i="23"/>
  <c r="Y429" i="23"/>
  <c r="AB423" i="23"/>
  <c r="Y402" i="23"/>
  <c r="AB411" i="23"/>
  <c r="AB398" i="23"/>
  <c r="AC393" i="23"/>
  <c r="AB419" i="23"/>
  <c r="X411" i="23"/>
  <c r="AC391" i="23"/>
  <c r="AC388" i="23"/>
  <c r="AA411" i="23"/>
  <c r="X397" i="23"/>
  <c r="X417" i="23"/>
  <c r="Y397" i="23"/>
  <c r="AC394" i="23"/>
  <c r="AB418" i="23"/>
  <c r="AA400" i="23"/>
  <c r="Y430" i="23"/>
  <c r="AA429" i="23"/>
  <c r="AA397" i="23"/>
  <c r="Y418" i="23"/>
  <c r="AB401" i="23"/>
  <c r="Y411" i="23"/>
  <c r="X418" i="23"/>
  <c r="AA419" i="23"/>
  <c r="Z423" i="23" l="1"/>
  <c r="R423" i="23" s="1"/>
  <c r="Z426" i="23"/>
  <c r="R426" i="23" s="1"/>
  <c r="Z429" i="23"/>
  <c r="R429" i="23" s="1"/>
  <c r="Z422" i="23"/>
  <c r="R422" i="23" s="1"/>
  <c r="Z427" i="23"/>
  <c r="R427" i="23" s="1"/>
  <c r="Z431" i="23"/>
  <c r="R431" i="23" s="1"/>
  <c r="Z430" i="23"/>
  <c r="R430" i="23" s="1"/>
  <c r="Z428" i="23"/>
  <c r="R428" i="23" s="1"/>
  <c r="R372" i="23"/>
  <c r="Z401" i="23"/>
  <c r="R401" i="23" s="1"/>
  <c r="Z400" i="23"/>
  <c r="R400" i="23" s="1"/>
  <c r="Z398" i="23"/>
  <c r="R398" i="23" s="1"/>
  <c r="Z402" i="23"/>
  <c r="R402" i="23" s="1"/>
  <c r="Z417" i="23"/>
  <c r="R417" i="23" s="1"/>
  <c r="Z411" i="23"/>
  <c r="R411" i="23" s="1"/>
  <c r="Z418" i="23"/>
  <c r="R418" i="23" s="1"/>
  <c r="Z419" i="23"/>
  <c r="R419" i="23" s="1"/>
  <c r="Z415" i="23"/>
  <c r="R415" i="23" s="1"/>
  <c r="Z397" i="23"/>
  <c r="R397" i="23" s="1"/>
  <c r="Z416" i="23"/>
  <c r="R416" i="23" s="1"/>
  <c r="Z421" i="23"/>
  <c r="R421" i="23" s="1"/>
  <c r="Z399" i="23"/>
  <c r="R399" i="23" s="1"/>
  <c r="Z420" i="23"/>
  <c r="R420" i="23" s="1"/>
  <c r="Z396" i="23"/>
  <c r="R396" i="23" s="1"/>
  <c r="Z410" i="23"/>
  <c r="R410" i="23" s="1"/>
  <c r="AH365" i="23"/>
  <c r="X372" i="23"/>
  <c r="AC372" i="23"/>
  <c r="U372" i="23" s="1"/>
  <c r="AB372" i="23"/>
  <c r="AA372" i="23"/>
  <c r="AB364" i="23"/>
  <c r="AA364" i="23"/>
  <c r="X364" i="23"/>
  <c r="AC364" i="23"/>
  <c r="AC365" i="23"/>
  <c r="X365" i="23"/>
  <c r="AB365" i="23"/>
  <c r="AA365" i="23"/>
  <c r="U388" i="23"/>
  <c r="U393" i="23"/>
  <c r="U385" i="23"/>
  <c r="U382" i="23"/>
  <c r="U390" i="23"/>
  <c r="U391" i="23"/>
  <c r="U384" i="23"/>
  <c r="U389" i="23"/>
  <c r="U386" i="23"/>
  <c r="U395" i="23"/>
  <c r="U394" i="23"/>
  <c r="U383" i="23"/>
  <c r="AH355" i="23"/>
  <c r="AH363" i="23"/>
  <c r="AH357" i="23"/>
  <c r="AH375" i="23"/>
  <c r="AH371" i="23"/>
  <c r="AH374" i="23"/>
  <c r="AH353" i="23"/>
  <c r="AH361" i="23"/>
  <c r="AH369" i="23"/>
  <c r="AH379" i="23"/>
  <c r="AH359" i="23"/>
  <c r="AH367" i="23"/>
  <c r="AH377" i="23"/>
  <c r="AH354" i="23"/>
  <c r="AH356" i="23"/>
  <c r="AH358" i="23"/>
  <c r="AH360" i="23"/>
  <c r="AH362" i="23"/>
  <c r="AH364" i="23"/>
  <c r="AH366" i="23"/>
  <c r="AH368" i="23"/>
  <c r="AH370" i="23"/>
  <c r="AH372" i="23"/>
  <c r="AH373" i="23"/>
  <c r="AH376" i="23"/>
  <c r="AH378" i="23"/>
  <c r="AH380" i="23"/>
  <c r="AE352" i="23"/>
  <c r="AD352" i="23"/>
  <c r="Y352" i="23" s="1"/>
  <c r="Z352" i="23" s="1"/>
  <c r="S352" i="23"/>
  <c r="P352" i="23"/>
  <c r="AJ352" i="23" s="1"/>
  <c r="O352" i="23"/>
  <c r="N352" i="23"/>
  <c r="M352" i="23"/>
  <c r="AE351" i="23"/>
  <c r="AD351" i="23"/>
  <c r="S351" i="23"/>
  <c r="P351" i="23"/>
  <c r="AJ351" i="23" s="1"/>
  <c r="O351" i="23"/>
  <c r="N351" i="23"/>
  <c r="M351" i="23"/>
  <c r="AE350" i="23"/>
  <c r="AD350" i="23"/>
  <c r="Y350" i="23" s="1"/>
  <c r="Z350" i="23" s="1"/>
  <c r="T350" i="23"/>
  <c r="S350" i="23"/>
  <c r="P350" i="23"/>
  <c r="AJ350" i="23" s="1"/>
  <c r="O350" i="23"/>
  <c r="N350" i="23"/>
  <c r="M350" i="23"/>
  <c r="AE349" i="23"/>
  <c r="AD349" i="23"/>
  <c r="T349" i="23"/>
  <c r="S349" i="23"/>
  <c r="P349" i="23"/>
  <c r="AJ349" i="23" s="1"/>
  <c r="O349" i="23"/>
  <c r="N349" i="23"/>
  <c r="M349" i="23"/>
  <c r="AE348" i="23"/>
  <c r="AD348" i="23"/>
  <c r="S348" i="23"/>
  <c r="P348" i="23"/>
  <c r="AJ348" i="23" s="1"/>
  <c r="O348" i="23"/>
  <c r="N348" i="23"/>
  <c r="M348" i="23"/>
  <c r="AE347" i="23"/>
  <c r="AD347" i="23"/>
  <c r="S347" i="23"/>
  <c r="P347" i="23"/>
  <c r="AJ347" i="23" s="1"/>
  <c r="O347" i="23"/>
  <c r="N347" i="23"/>
  <c r="M347" i="23"/>
  <c r="AE346" i="23"/>
  <c r="AD346" i="23"/>
  <c r="S346" i="23"/>
  <c r="P346" i="23"/>
  <c r="AJ346" i="23" s="1"/>
  <c r="O346" i="23"/>
  <c r="N346" i="23"/>
  <c r="M346" i="23"/>
  <c r="AE345" i="23"/>
  <c r="AD345" i="23"/>
  <c r="S345" i="23"/>
  <c r="P345" i="23"/>
  <c r="AJ345" i="23" s="1"/>
  <c r="O345" i="23"/>
  <c r="N345" i="23"/>
  <c r="M345" i="23"/>
  <c r="Y382" i="23"/>
  <c r="Y383" i="23"/>
  <c r="AA382" i="23"/>
  <c r="X382" i="23"/>
  <c r="AB382" i="23"/>
  <c r="X383" i="23"/>
  <c r="AA383" i="23"/>
  <c r="AB383" i="23"/>
  <c r="X384" i="23"/>
  <c r="Y384" i="23"/>
  <c r="AA384" i="23"/>
  <c r="AB384" i="23"/>
  <c r="AB393" i="23"/>
  <c r="AB386" i="23"/>
  <c r="Y395" i="23"/>
  <c r="AB389" i="23"/>
  <c r="X391" i="23"/>
  <c r="AB388" i="23"/>
  <c r="Y388" i="23"/>
  <c r="AB390" i="23"/>
  <c r="Y393" i="23"/>
  <c r="Y390" i="23"/>
  <c r="AA391" i="23"/>
  <c r="AA394" i="23"/>
  <c r="AB395" i="23"/>
  <c r="AA385" i="23"/>
  <c r="X386" i="23"/>
  <c r="AB385" i="23"/>
  <c r="AC373" i="23"/>
  <c r="AA388" i="23"/>
  <c r="AB394" i="23"/>
  <c r="AC375" i="23"/>
  <c r="Y394" i="23"/>
  <c r="AA395" i="23"/>
  <c r="AC374" i="23"/>
  <c r="X389" i="23"/>
  <c r="X395" i="23"/>
  <c r="AB391" i="23"/>
  <c r="X388" i="23"/>
  <c r="AA393" i="23"/>
  <c r="X385" i="23"/>
  <c r="Y391" i="23"/>
  <c r="X390" i="23"/>
  <c r="X394" i="23"/>
  <c r="AA389" i="23"/>
  <c r="Y385" i="23"/>
  <c r="Y389" i="23"/>
  <c r="Y386" i="23"/>
  <c r="AA386" i="23"/>
  <c r="X393" i="23"/>
  <c r="AA390" i="23"/>
  <c r="R350" i="23" l="1"/>
  <c r="Z394" i="23"/>
  <c r="R394" i="23" s="1"/>
  <c r="Z385" i="23"/>
  <c r="R385" i="23" s="1"/>
  <c r="Z395" i="23"/>
  <c r="R395" i="23" s="1"/>
  <c r="Z391" i="23"/>
  <c r="R391" i="23" s="1"/>
  <c r="Z393" i="23"/>
  <c r="R393" i="23" s="1"/>
  <c r="Z384" i="23"/>
  <c r="R384" i="23" s="1"/>
  <c r="Z386" i="23"/>
  <c r="R386" i="23" s="1"/>
  <c r="Z390" i="23"/>
  <c r="R390" i="23" s="1"/>
  <c r="Z388" i="23"/>
  <c r="R388" i="23" s="1"/>
  <c r="Z383" i="23"/>
  <c r="R383" i="23" s="1"/>
  <c r="Z389" i="23"/>
  <c r="R389" i="23" s="1"/>
  <c r="Z382" i="23"/>
  <c r="R382" i="23" s="1"/>
  <c r="AC350" i="23"/>
  <c r="X350" i="23"/>
  <c r="AB350" i="23"/>
  <c r="AA350" i="23"/>
  <c r="AA352" i="23"/>
  <c r="AC352" i="23"/>
  <c r="X352" i="23"/>
  <c r="AB352" i="23"/>
  <c r="U374" i="23"/>
  <c r="U375" i="23"/>
  <c r="U373" i="23"/>
  <c r="AH350" i="23"/>
  <c r="AH345" i="23"/>
  <c r="AH351" i="23"/>
  <c r="AH346" i="23"/>
  <c r="AH347" i="23"/>
  <c r="AH348" i="23"/>
  <c r="AH349" i="23"/>
  <c r="AH352" i="23"/>
  <c r="M344" i="23"/>
  <c r="AB374" i="23"/>
  <c r="AA375" i="23"/>
  <c r="AA373" i="23"/>
  <c r="Y373" i="23"/>
  <c r="Y374" i="23"/>
  <c r="Y375" i="23"/>
  <c r="AB375" i="23"/>
  <c r="X373" i="23"/>
  <c r="X375" i="23"/>
  <c r="AA374" i="23"/>
  <c r="AC349" i="23"/>
  <c r="AB373" i="23"/>
  <c r="X374" i="23"/>
  <c r="Z373" i="23" l="1"/>
  <c r="R373" i="23" s="1"/>
  <c r="Z375" i="23"/>
  <c r="R375" i="23" s="1"/>
  <c r="Z374" i="23"/>
  <c r="R374" i="23" s="1"/>
  <c r="U349" i="23"/>
  <c r="U350" i="23"/>
  <c r="AE344" i="23"/>
  <c r="AD344" i="23"/>
  <c r="Y344" i="23" s="1"/>
  <c r="Z344" i="23" s="1"/>
  <c r="S344" i="23"/>
  <c r="P344" i="23"/>
  <c r="AJ344" i="23" s="1"/>
  <c r="O344" i="23"/>
  <c r="N344" i="23"/>
  <c r="AE343" i="23"/>
  <c r="AD343" i="23"/>
  <c r="Y343" i="23" s="1"/>
  <c r="Z343" i="23" s="1"/>
  <c r="S343" i="23"/>
  <c r="P343" i="23"/>
  <c r="AJ343" i="23" s="1"/>
  <c r="O343" i="23"/>
  <c r="N343" i="23"/>
  <c r="M343" i="23"/>
  <c r="AE342" i="23"/>
  <c r="AD342" i="23"/>
  <c r="Y342" i="23" s="1"/>
  <c r="Z342" i="23" s="1"/>
  <c r="S342" i="23"/>
  <c r="P342" i="23"/>
  <c r="AJ342" i="23" s="1"/>
  <c r="O342" i="23"/>
  <c r="N342" i="23"/>
  <c r="M342" i="23"/>
  <c r="AE341" i="23"/>
  <c r="AD341" i="23"/>
  <c r="Y341" i="23" s="1"/>
  <c r="Z341" i="23" s="1"/>
  <c r="S341" i="23"/>
  <c r="P341" i="23"/>
  <c r="AJ341" i="23" s="1"/>
  <c r="O341" i="23"/>
  <c r="N341" i="23"/>
  <c r="M341" i="23"/>
  <c r="AE340" i="23"/>
  <c r="AD340" i="23"/>
  <c r="Y340" i="23" s="1"/>
  <c r="Z340" i="23" s="1"/>
  <c r="S340" i="23"/>
  <c r="P340" i="23"/>
  <c r="AJ340" i="23" s="1"/>
  <c r="O340" i="23"/>
  <c r="N340" i="23"/>
  <c r="M340" i="23"/>
  <c r="AE339" i="23"/>
  <c r="AD339" i="23"/>
  <c r="Y339" i="23" s="1"/>
  <c r="Z339" i="23" s="1"/>
  <c r="S339" i="23"/>
  <c r="P339" i="23"/>
  <c r="AH339" i="23" s="1"/>
  <c r="O339" i="23"/>
  <c r="N339" i="23"/>
  <c r="M339" i="23"/>
  <c r="AA349" i="23"/>
  <c r="Y349" i="23"/>
  <c r="AB349" i="23"/>
  <c r="X349" i="23"/>
  <c r="Z349" i="23" l="1"/>
  <c r="R349" i="23" s="1"/>
  <c r="AA344" i="23"/>
  <c r="AC344" i="23"/>
  <c r="U344" i="23" s="1"/>
  <c r="X344" i="23"/>
  <c r="AB344" i="23"/>
  <c r="AB339" i="23"/>
  <c r="AA339" i="23"/>
  <c r="X339" i="23"/>
  <c r="AC339" i="23"/>
  <c r="AA340" i="23"/>
  <c r="AC340" i="23"/>
  <c r="X340" i="23"/>
  <c r="AB340" i="23"/>
  <c r="AC341" i="23"/>
  <c r="X341" i="23"/>
  <c r="AB341" i="23"/>
  <c r="AA341" i="23"/>
  <c r="AC342" i="23"/>
  <c r="U342" i="23" s="1"/>
  <c r="X342" i="23"/>
  <c r="AB342" i="23"/>
  <c r="AA342" i="23"/>
  <c r="AB343" i="23"/>
  <c r="AA343" i="23"/>
  <c r="AC343" i="23"/>
  <c r="U343" i="23" s="1"/>
  <c r="X343" i="23"/>
  <c r="AH343" i="23"/>
  <c r="AH342" i="23"/>
  <c r="AH344" i="23"/>
  <c r="AJ339" i="23"/>
  <c r="AH340" i="23"/>
  <c r="AH341" i="23"/>
  <c r="AE338" i="23"/>
  <c r="AD338" i="23"/>
  <c r="Y338" i="23" s="1"/>
  <c r="Z338" i="23" s="1"/>
  <c r="S338" i="23"/>
  <c r="P338" i="23"/>
  <c r="AJ338" i="23" s="1"/>
  <c r="O338" i="23"/>
  <c r="N338" i="23"/>
  <c r="M338" i="23"/>
  <c r="AE337" i="23"/>
  <c r="AD337" i="23"/>
  <c r="Y337" i="23" s="1"/>
  <c r="Z337" i="23" s="1"/>
  <c r="S337" i="23"/>
  <c r="P337" i="23"/>
  <c r="AH337" i="23" s="1"/>
  <c r="O337" i="23"/>
  <c r="N337" i="23"/>
  <c r="M337" i="23"/>
  <c r="AC337" i="23" l="1"/>
  <c r="X337" i="23"/>
  <c r="AB337" i="23"/>
  <c r="AA337" i="23"/>
  <c r="AC338" i="23"/>
  <c r="X338" i="23"/>
  <c r="AB338" i="23"/>
  <c r="AA338" i="23"/>
  <c r="U337" i="23"/>
  <c r="AH338" i="23"/>
  <c r="AJ337" i="23"/>
  <c r="AE336" i="23"/>
  <c r="AD336" i="23"/>
  <c r="Y336" i="23" s="1"/>
  <c r="Z336" i="23" s="1"/>
  <c r="T336" i="23"/>
  <c r="S336" i="23"/>
  <c r="P336" i="23"/>
  <c r="AH336" i="23" s="1"/>
  <c r="O336" i="23"/>
  <c r="N336" i="23"/>
  <c r="M336" i="23"/>
  <c r="AE335" i="23"/>
  <c r="AD335" i="23"/>
  <c r="Y335" i="23" s="1"/>
  <c r="Z335" i="23" s="1"/>
  <c r="T335" i="23"/>
  <c r="S335" i="23"/>
  <c r="P335" i="23"/>
  <c r="AJ335" i="23" s="1"/>
  <c r="O335" i="23"/>
  <c r="N335" i="23"/>
  <c r="M335" i="23"/>
  <c r="R336" i="23" l="1"/>
  <c r="R335" i="23"/>
  <c r="AB335" i="23"/>
  <c r="AA335" i="23"/>
  <c r="X335" i="23"/>
  <c r="AC335" i="23"/>
  <c r="U335" i="23" s="1"/>
  <c r="AA336" i="23"/>
  <c r="AC336" i="23"/>
  <c r="U336" i="23" s="1"/>
  <c r="X336" i="23"/>
  <c r="AB336" i="23"/>
  <c r="AH335" i="23"/>
  <c r="AJ336" i="23"/>
  <c r="AE334" i="23"/>
  <c r="AD334" i="23"/>
  <c r="Y334" i="23" s="1"/>
  <c r="Z334" i="23" s="1"/>
  <c r="S334" i="23"/>
  <c r="P334" i="23"/>
  <c r="AH334" i="23" s="1"/>
  <c r="O334" i="23"/>
  <c r="N334" i="23"/>
  <c r="M334" i="23"/>
  <c r="AC334" i="23" l="1"/>
  <c r="U334" i="23" s="1"/>
  <c r="X334" i="23"/>
  <c r="AB334" i="23"/>
  <c r="AA334" i="23"/>
  <c r="AJ334" i="23"/>
  <c r="AE333" i="23"/>
  <c r="AD333" i="23"/>
  <c r="Y333" i="23" s="1"/>
  <c r="Z333" i="23" s="1"/>
  <c r="S333" i="23"/>
  <c r="P333" i="23"/>
  <c r="AH333" i="23" s="1"/>
  <c r="O333" i="23"/>
  <c r="N333" i="23"/>
  <c r="M333" i="23"/>
  <c r="AC333" i="23" l="1"/>
  <c r="X333" i="23"/>
  <c r="AB333" i="23"/>
  <c r="AA333" i="23"/>
  <c r="U333" i="23"/>
  <c r="AJ333" i="23"/>
  <c r="AE332" i="23"/>
  <c r="AD332" i="23"/>
  <c r="Y332" i="23" s="1"/>
  <c r="Z332" i="23" s="1"/>
  <c r="S332" i="23"/>
  <c r="P332" i="23"/>
  <c r="AJ332" i="23" s="1"/>
  <c r="O332" i="23"/>
  <c r="N332" i="23"/>
  <c r="M332" i="23"/>
  <c r="AE331" i="23"/>
  <c r="AD331" i="23"/>
  <c r="Y331" i="23" s="1"/>
  <c r="Z331" i="23" s="1"/>
  <c r="S331" i="23"/>
  <c r="P331" i="23"/>
  <c r="AJ331" i="23" s="1"/>
  <c r="O331" i="23"/>
  <c r="N331" i="23"/>
  <c r="M331" i="23"/>
  <c r="AE330" i="23"/>
  <c r="AD330" i="23"/>
  <c r="Y330" i="23" s="1"/>
  <c r="Z330" i="23" s="1"/>
  <c r="S330" i="23"/>
  <c r="P330" i="23"/>
  <c r="AJ330" i="23" s="1"/>
  <c r="O330" i="23"/>
  <c r="N330" i="23"/>
  <c r="M330" i="23"/>
  <c r="AE329" i="23"/>
  <c r="AD329" i="23"/>
  <c r="Y329" i="23" s="1"/>
  <c r="Z329" i="23" s="1"/>
  <c r="S329" i="23"/>
  <c r="P329" i="23"/>
  <c r="AJ329" i="23" s="1"/>
  <c r="O329" i="23"/>
  <c r="N329" i="23"/>
  <c r="M329" i="23"/>
  <c r="AE328" i="23"/>
  <c r="AD328" i="23"/>
  <c r="Y328" i="23" s="1"/>
  <c r="Z328" i="23" s="1"/>
  <c r="S328" i="23"/>
  <c r="P328" i="23"/>
  <c r="AJ328" i="23" s="1"/>
  <c r="O328" i="23"/>
  <c r="N328" i="23"/>
  <c r="M328" i="23"/>
  <c r="AE327" i="23"/>
  <c r="AD327" i="23"/>
  <c r="Y327" i="23" s="1"/>
  <c r="Z327" i="23" s="1"/>
  <c r="S327" i="23"/>
  <c r="P327" i="23"/>
  <c r="AJ327" i="23" s="1"/>
  <c r="O327" i="23"/>
  <c r="N327" i="23"/>
  <c r="M327" i="23"/>
  <c r="AE326" i="23"/>
  <c r="AD326" i="23"/>
  <c r="Y326" i="23" s="1"/>
  <c r="Z326" i="23" s="1"/>
  <c r="S326" i="23"/>
  <c r="P326" i="23"/>
  <c r="AJ326" i="23" s="1"/>
  <c r="O326" i="23"/>
  <c r="N326" i="23"/>
  <c r="M326" i="23"/>
  <c r="AE325" i="23"/>
  <c r="AD325" i="23"/>
  <c r="S325" i="23"/>
  <c r="P325" i="23"/>
  <c r="AJ325" i="23" s="1"/>
  <c r="O325" i="23"/>
  <c r="N325" i="23"/>
  <c r="M325" i="23"/>
  <c r="AE324" i="23"/>
  <c r="AD324" i="23"/>
  <c r="Y324" i="23" s="1"/>
  <c r="Z324" i="23" s="1"/>
  <c r="S324" i="23"/>
  <c r="P324" i="23"/>
  <c r="AJ324" i="23" s="1"/>
  <c r="O324" i="23"/>
  <c r="N324" i="23"/>
  <c r="M324" i="23"/>
  <c r="AE323" i="23"/>
  <c r="AD323" i="23"/>
  <c r="Y323" i="23" s="1"/>
  <c r="Z323" i="23" s="1"/>
  <c r="S323" i="23"/>
  <c r="P323" i="23"/>
  <c r="AJ323" i="23" s="1"/>
  <c r="O323" i="23"/>
  <c r="N323" i="23"/>
  <c r="M323" i="23"/>
  <c r="AE322" i="23"/>
  <c r="AD322" i="23"/>
  <c r="Y322" i="23" s="1"/>
  <c r="Z322" i="23" s="1"/>
  <c r="S322" i="23"/>
  <c r="P322" i="23"/>
  <c r="AJ322" i="23" s="1"/>
  <c r="O322" i="23"/>
  <c r="N322" i="23"/>
  <c r="M322" i="23"/>
  <c r="AE321" i="23"/>
  <c r="AD321" i="23"/>
  <c r="Y321" i="23" s="1"/>
  <c r="Z321" i="23" s="1"/>
  <c r="S321" i="23"/>
  <c r="P321" i="23"/>
  <c r="AJ321" i="23" s="1"/>
  <c r="O321" i="23"/>
  <c r="N321" i="23"/>
  <c r="M321" i="23"/>
  <c r="AE320" i="23"/>
  <c r="AD320" i="23"/>
  <c r="Y320" i="23" s="1"/>
  <c r="Z320" i="23" s="1"/>
  <c r="S320" i="23"/>
  <c r="P320" i="23"/>
  <c r="AH320" i="23" s="1"/>
  <c r="O320" i="23"/>
  <c r="N320" i="23"/>
  <c r="M320" i="23"/>
  <c r="AC320" i="23" l="1"/>
  <c r="X320" i="23"/>
  <c r="AB320" i="23"/>
  <c r="AA320" i="23"/>
  <c r="AB321" i="23"/>
  <c r="AA321" i="23"/>
  <c r="AC321" i="23"/>
  <c r="U321" i="23" s="1"/>
  <c r="X321" i="23"/>
  <c r="AA322" i="23"/>
  <c r="AC322" i="23"/>
  <c r="AB322" i="23"/>
  <c r="X322" i="23"/>
  <c r="AC323" i="23"/>
  <c r="X323" i="23"/>
  <c r="AA323" i="23"/>
  <c r="AB323" i="23"/>
  <c r="AC324" i="23"/>
  <c r="X324" i="23"/>
  <c r="AB324" i="23"/>
  <c r="AA324" i="23"/>
  <c r="AC327" i="23"/>
  <c r="X327" i="23"/>
  <c r="AB327" i="23"/>
  <c r="AA327" i="23"/>
  <c r="AA326" i="23"/>
  <c r="AB326" i="23"/>
  <c r="X326" i="23"/>
  <c r="AC326" i="23"/>
  <c r="U326" i="23" s="1"/>
  <c r="AA328" i="23"/>
  <c r="X328" i="23"/>
  <c r="AC328" i="23"/>
  <c r="AB328" i="23"/>
  <c r="AC329" i="23"/>
  <c r="AB329" i="23"/>
  <c r="X329" i="23"/>
  <c r="AA329" i="23"/>
  <c r="AC330" i="23"/>
  <c r="X330" i="23"/>
  <c r="AB330" i="23"/>
  <c r="AA330" i="23"/>
  <c r="AB331" i="23"/>
  <c r="AA331" i="23"/>
  <c r="AC331" i="23"/>
  <c r="X331" i="23"/>
  <c r="AA332" i="23"/>
  <c r="AC332" i="23"/>
  <c r="X332" i="23"/>
  <c r="AB332" i="23"/>
  <c r="U320" i="23"/>
  <c r="U322" i="23"/>
  <c r="AH331" i="23"/>
  <c r="AH332" i="23"/>
  <c r="AH329" i="23"/>
  <c r="AH330" i="23"/>
  <c r="AH328" i="23"/>
  <c r="AH325" i="23"/>
  <c r="AH327" i="23"/>
  <c r="AH323" i="23"/>
  <c r="AH324" i="23"/>
  <c r="AH326" i="23"/>
  <c r="AH321" i="23"/>
  <c r="AH322" i="23"/>
  <c r="AJ320" i="23"/>
  <c r="AE319" i="23"/>
  <c r="AD319" i="23"/>
  <c r="Y319" i="23" s="1"/>
  <c r="Z319" i="23" s="1"/>
  <c r="S319" i="23"/>
  <c r="P319" i="23"/>
  <c r="AJ319" i="23" s="1"/>
  <c r="O319" i="23"/>
  <c r="N319" i="23"/>
  <c r="M319" i="23"/>
  <c r="AE318" i="23"/>
  <c r="AD318" i="23"/>
  <c r="Y318" i="23" s="1"/>
  <c r="Z318" i="23" s="1"/>
  <c r="S318" i="23"/>
  <c r="P318" i="23"/>
  <c r="AJ318" i="23" s="1"/>
  <c r="O318" i="23"/>
  <c r="N318" i="23"/>
  <c r="M318" i="23"/>
  <c r="AE317" i="23"/>
  <c r="AD317" i="23"/>
  <c r="Y317" i="23" s="1"/>
  <c r="Z317" i="23" s="1"/>
  <c r="S317" i="23"/>
  <c r="P317" i="23"/>
  <c r="AJ317" i="23" s="1"/>
  <c r="O317" i="23"/>
  <c r="N317" i="23"/>
  <c r="M317" i="23"/>
  <c r="AE316" i="23"/>
  <c r="AD316" i="23"/>
  <c r="Y316" i="23" s="1"/>
  <c r="Z316" i="23" s="1"/>
  <c r="S316" i="23"/>
  <c r="P316" i="23"/>
  <c r="AH316" i="23" s="1"/>
  <c r="O316" i="23"/>
  <c r="N316" i="23"/>
  <c r="M316" i="23"/>
  <c r="AE315" i="23"/>
  <c r="AD315" i="23"/>
  <c r="Y315" i="23" s="1"/>
  <c r="Z315" i="23" s="1"/>
  <c r="S315" i="23"/>
  <c r="P315" i="23"/>
  <c r="AJ315" i="23" s="1"/>
  <c r="O315" i="23"/>
  <c r="N315" i="23"/>
  <c r="M315" i="23"/>
  <c r="AE314" i="23"/>
  <c r="AD314" i="23"/>
  <c r="Y314" i="23" s="1"/>
  <c r="Z314" i="23" s="1"/>
  <c r="S314" i="23"/>
  <c r="P314" i="23"/>
  <c r="AH314" i="23" s="1"/>
  <c r="O314" i="23"/>
  <c r="N314" i="23"/>
  <c r="AE313" i="23"/>
  <c r="AD313" i="23"/>
  <c r="Y313" i="23" s="1"/>
  <c r="Z313" i="23" s="1"/>
  <c r="S313" i="23"/>
  <c r="P313" i="23"/>
  <c r="AJ313" i="23" s="1"/>
  <c r="O313" i="23"/>
  <c r="N313" i="23"/>
  <c r="M313" i="23"/>
  <c r="AE312" i="23"/>
  <c r="AD312" i="23"/>
  <c r="Y312" i="23" s="1"/>
  <c r="Z312" i="23" s="1"/>
  <c r="S312" i="23"/>
  <c r="P312" i="23"/>
  <c r="AJ312" i="23" s="1"/>
  <c r="O312" i="23"/>
  <c r="N312" i="23"/>
  <c r="M312" i="23"/>
  <c r="AE311" i="23"/>
  <c r="AD311" i="23"/>
  <c r="Y311" i="23" s="1"/>
  <c r="Z311" i="23" s="1"/>
  <c r="S311" i="23"/>
  <c r="P311" i="23"/>
  <c r="AJ311" i="23" s="1"/>
  <c r="O311" i="23"/>
  <c r="N311" i="23"/>
  <c r="M311" i="23"/>
  <c r="AE310" i="23"/>
  <c r="AD310" i="23"/>
  <c r="Y310" i="23" s="1"/>
  <c r="Z310" i="23" s="1"/>
  <c r="S310" i="23"/>
  <c r="P310" i="23"/>
  <c r="AJ310" i="23" s="1"/>
  <c r="O310" i="23"/>
  <c r="N310" i="23"/>
  <c r="M310" i="23"/>
  <c r="AE309" i="23"/>
  <c r="AD309" i="23"/>
  <c r="Y309" i="23" s="1"/>
  <c r="Z309" i="23" s="1"/>
  <c r="S309" i="23"/>
  <c r="P309" i="23"/>
  <c r="AJ309" i="23" s="1"/>
  <c r="O309" i="23"/>
  <c r="N309" i="23"/>
  <c r="M309" i="23"/>
  <c r="AE308" i="23"/>
  <c r="AD308" i="23"/>
  <c r="Y308" i="23" s="1"/>
  <c r="Z308" i="23" s="1"/>
  <c r="S308" i="23"/>
  <c r="P308" i="23"/>
  <c r="AJ308" i="23" s="1"/>
  <c r="O308" i="23"/>
  <c r="N308" i="23"/>
  <c r="M308" i="23"/>
  <c r="AE307" i="23"/>
  <c r="AD307" i="23"/>
  <c r="Y307" i="23" s="1"/>
  <c r="Z307" i="23" s="1"/>
  <c r="S307" i="23"/>
  <c r="P307" i="23"/>
  <c r="AJ307" i="23" s="1"/>
  <c r="O307" i="23"/>
  <c r="N307" i="23"/>
  <c r="M307" i="23"/>
  <c r="AE306" i="23"/>
  <c r="AD306" i="23"/>
  <c r="Y306" i="23" s="1"/>
  <c r="Z306" i="23" s="1"/>
  <c r="S306" i="23"/>
  <c r="P306" i="23"/>
  <c r="AJ306" i="23" s="1"/>
  <c r="O306" i="23"/>
  <c r="N306" i="23"/>
  <c r="M306" i="23"/>
  <c r="AE305" i="23"/>
  <c r="AD305" i="23"/>
  <c r="Y305" i="23" s="1"/>
  <c r="Z305" i="23" s="1"/>
  <c r="S305" i="23"/>
  <c r="P305" i="23"/>
  <c r="AJ305" i="23" s="1"/>
  <c r="O305" i="23"/>
  <c r="N305" i="23"/>
  <c r="M305" i="23"/>
  <c r="AE304" i="23"/>
  <c r="AD304" i="23"/>
  <c r="Y304" i="23" s="1"/>
  <c r="Z304" i="23" s="1"/>
  <c r="S304" i="23"/>
  <c r="P304" i="23"/>
  <c r="AJ304" i="23" s="1"/>
  <c r="O304" i="23"/>
  <c r="N304" i="23"/>
  <c r="M304" i="23"/>
  <c r="AE303" i="23"/>
  <c r="AD303" i="23"/>
  <c r="Y303" i="23" s="1"/>
  <c r="Z303" i="23" s="1"/>
  <c r="S303" i="23"/>
  <c r="P303" i="23"/>
  <c r="AJ303" i="23" s="1"/>
  <c r="O303" i="23"/>
  <c r="N303" i="23"/>
  <c r="M303" i="23"/>
  <c r="AE302" i="23"/>
  <c r="AD302" i="23"/>
  <c r="S302" i="23"/>
  <c r="P302" i="23"/>
  <c r="AJ302" i="23" s="1"/>
  <c r="O302" i="23"/>
  <c r="N302" i="23"/>
  <c r="M302" i="23"/>
  <c r="M301" i="23"/>
  <c r="N301" i="23"/>
  <c r="O301" i="23"/>
  <c r="P301" i="23"/>
  <c r="AJ301" i="23" s="1"/>
  <c r="S301" i="23"/>
  <c r="AD301" i="23"/>
  <c r="Y301" i="23" s="1"/>
  <c r="Z301" i="23" s="1"/>
  <c r="AE301" i="23"/>
  <c r="AE300" i="23"/>
  <c r="AD300" i="23"/>
  <c r="Y300" i="23" s="1"/>
  <c r="Z300" i="23" s="1"/>
  <c r="S300" i="23"/>
  <c r="P300" i="23"/>
  <c r="AJ300" i="23" s="1"/>
  <c r="O300" i="23"/>
  <c r="N300" i="23"/>
  <c r="M300" i="23"/>
  <c r="AE299" i="23"/>
  <c r="AD299" i="23"/>
  <c r="Y299" i="23" s="1"/>
  <c r="Z299" i="23" s="1"/>
  <c r="S299" i="23"/>
  <c r="P299" i="23"/>
  <c r="AJ299" i="23" s="1"/>
  <c r="O299" i="23"/>
  <c r="N299" i="23"/>
  <c r="M299" i="23"/>
  <c r="AB301" i="23" l="1"/>
  <c r="AA301" i="23"/>
  <c r="X301" i="23"/>
  <c r="AC301" i="23"/>
  <c r="AB317" i="23"/>
  <c r="AA317" i="23"/>
  <c r="X317" i="23"/>
  <c r="AC317" i="23"/>
  <c r="AC307" i="23"/>
  <c r="X307" i="23"/>
  <c r="AA307" i="23"/>
  <c r="AB307" i="23"/>
  <c r="AC308" i="23"/>
  <c r="X308" i="23"/>
  <c r="AB308" i="23"/>
  <c r="AA308" i="23"/>
  <c r="AA310" i="23"/>
  <c r="AB310" i="23"/>
  <c r="X310" i="23"/>
  <c r="AC310" i="23"/>
  <c r="AA314" i="23"/>
  <c r="AC314" i="23"/>
  <c r="AB314" i="23"/>
  <c r="X314" i="23"/>
  <c r="AC315" i="23"/>
  <c r="X315" i="23"/>
  <c r="AA315" i="23"/>
  <c r="AB315" i="23"/>
  <c r="AC316" i="23"/>
  <c r="X316" i="23"/>
  <c r="AB316" i="23"/>
  <c r="AA316" i="23"/>
  <c r="AA318" i="23"/>
  <c r="AB318" i="23"/>
  <c r="X318" i="23"/>
  <c r="AC318" i="23"/>
  <c r="AC319" i="23"/>
  <c r="X319" i="23"/>
  <c r="AB319" i="23"/>
  <c r="AA319" i="23"/>
  <c r="AC299" i="23"/>
  <c r="X299" i="23"/>
  <c r="AA299" i="23"/>
  <c r="AB299" i="23"/>
  <c r="AC300" i="23"/>
  <c r="X300" i="23"/>
  <c r="AB300" i="23"/>
  <c r="AA300" i="23"/>
  <c r="AC303" i="23"/>
  <c r="X303" i="23"/>
  <c r="AB303" i="23"/>
  <c r="AA303" i="23"/>
  <c r="AC304" i="23"/>
  <c r="U304" i="23" s="1"/>
  <c r="X304" i="23"/>
  <c r="AB304" i="23"/>
  <c r="AA304" i="23"/>
  <c r="AB305" i="23"/>
  <c r="AA305" i="23"/>
  <c r="AC305" i="23"/>
  <c r="X305" i="23"/>
  <c r="AA306" i="23"/>
  <c r="AC306" i="23"/>
  <c r="AB306" i="23"/>
  <c r="X306" i="23"/>
  <c r="AB309" i="23"/>
  <c r="AA309" i="23"/>
  <c r="X309" i="23"/>
  <c r="AC309" i="23"/>
  <c r="AC311" i="23"/>
  <c r="X311" i="23"/>
  <c r="AB311" i="23"/>
  <c r="AA311" i="23"/>
  <c r="AC312" i="23"/>
  <c r="X312" i="23"/>
  <c r="AB312" i="23"/>
  <c r="AA312" i="23"/>
  <c r="AB313" i="23"/>
  <c r="AA313" i="23"/>
  <c r="AC313" i="23"/>
  <c r="X313" i="23"/>
  <c r="AH301" i="23"/>
  <c r="AH310" i="23"/>
  <c r="AH319" i="23"/>
  <c r="AH302" i="23"/>
  <c r="AH317" i="23"/>
  <c r="AH312" i="23"/>
  <c r="AH318" i="23"/>
  <c r="AJ316" i="23"/>
  <c r="AH308" i="23"/>
  <c r="AH313" i="23"/>
  <c r="AH315" i="23"/>
  <c r="AJ314" i="23"/>
  <c r="AH306" i="23"/>
  <c r="AH304" i="23"/>
  <c r="AH300" i="23"/>
  <c r="AH299" i="23"/>
  <c r="AH303" i="23"/>
  <c r="AH305" i="23"/>
  <c r="AH307" i="23"/>
  <c r="AH309" i="23"/>
  <c r="AH311" i="23"/>
  <c r="AE298" i="23"/>
  <c r="AD298" i="23"/>
  <c r="S298" i="23"/>
  <c r="P298" i="23"/>
  <c r="AH298" i="23" s="1"/>
  <c r="O298" i="23"/>
  <c r="N298" i="23"/>
  <c r="M298" i="23"/>
  <c r="AE297" i="23"/>
  <c r="AD297" i="23"/>
  <c r="Y297" i="23" s="1"/>
  <c r="Z297" i="23" s="1"/>
  <c r="S297" i="23"/>
  <c r="P297" i="23"/>
  <c r="AJ297" i="23" s="1"/>
  <c r="O297" i="23"/>
  <c r="N297" i="23"/>
  <c r="M297" i="23"/>
  <c r="AE296" i="23"/>
  <c r="AD296" i="23"/>
  <c r="Y296" i="23" s="1"/>
  <c r="Z296" i="23" s="1"/>
  <c r="S296" i="23"/>
  <c r="P296" i="23"/>
  <c r="AH296" i="23" s="1"/>
  <c r="O296" i="23"/>
  <c r="N296" i="23"/>
  <c r="M296" i="23"/>
  <c r="AE295" i="23"/>
  <c r="AD295" i="23"/>
  <c r="Y295" i="23" s="1"/>
  <c r="Z295" i="23" s="1"/>
  <c r="S295" i="23"/>
  <c r="P295" i="23"/>
  <c r="AJ295" i="23" s="1"/>
  <c r="O295" i="23"/>
  <c r="N295" i="23"/>
  <c r="M295" i="23"/>
  <c r="AE294" i="23"/>
  <c r="AD294" i="23"/>
  <c r="Y294" i="23" s="1"/>
  <c r="Z294" i="23" s="1"/>
  <c r="S294" i="23"/>
  <c r="P294" i="23"/>
  <c r="AH294" i="23" s="1"/>
  <c r="O294" i="23"/>
  <c r="N294" i="23"/>
  <c r="M294" i="23"/>
  <c r="AE293" i="23"/>
  <c r="AD293" i="23"/>
  <c r="Y293" i="23" s="1"/>
  <c r="Z293" i="23" s="1"/>
  <c r="S293" i="23"/>
  <c r="P293" i="23"/>
  <c r="AJ293" i="23" s="1"/>
  <c r="O293" i="23"/>
  <c r="N293" i="23"/>
  <c r="M293" i="23"/>
  <c r="AE292" i="23"/>
  <c r="AD292" i="23"/>
  <c r="Y292" i="23" s="1"/>
  <c r="Z292" i="23" s="1"/>
  <c r="S292" i="23"/>
  <c r="P292" i="23"/>
  <c r="AH292" i="23" s="1"/>
  <c r="O292" i="23"/>
  <c r="N292" i="23"/>
  <c r="M292" i="23"/>
  <c r="AE291" i="23"/>
  <c r="AD291" i="23"/>
  <c r="Y291" i="23" s="1"/>
  <c r="Z291" i="23" s="1"/>
  <c r="S291" i="23"/>
  <c r="P291" i="23"/>
  <c r="AJ291" i="23" s="1"/>
  <c r="O291" i="23"/>
  <c r="N291" i="23"/>
  <c r="M291" i="23"/>
  <c r="AE290" i="23"/>
  <c r="AD290" i="23"/>
  <c r="Y290" i="23" s="1"/>
  <c r="Z290" i="23" s="1"/>
  <c r="S290" i="23"/>
  <c r="P290" i="23"/>
  <c r="AJ290" i="23" s="1"/>
  <c r="O290" i="23"/>
  <c r="N290" i="23"/>
  <c r="M290" i="23"/>
  <c r="AE289" i="23"/>
  <c r="AD289" i="23"/>
  <c r="Y289" i="23" s="1"/>
  <c r="Z289" i="23" s="1"/>
  <c r="S289" i="23"/>
  <c r="P289" i="23"/>
  <c r="AJ289" i="23" s="1"/>
  <c r="O289" i="23"/>
  <c r="N289" i="23"/>
  <c r="M289" i="23"/>
  <c r="AE288" i="23"/>
  <c r="AD288" i="23"/>
  <c r="Y288" i="23" s="1"/>
  <c r="Z288" i="23" s="1"/>
  <c r="S288" i="23"/>
  <c r="P288" i="23"/>
  <c r="AJ288" i="23" s="1"/>
  <c r="O288" i="23"/>
  <c r="N288" i="23"/>
  <c r="M288" i="23"/>
  <c r="AE287" i="23"/>
  <c r="AD287" i="23"/>
  <c r="Y287" i="23" s="1"/>
  <c r="Z287" i="23" s="1"/>
  <c r="S287" i="23"/>
  <c r="P287" i="23"/>
  <c r="AJ287" i="23" s="1"/>
  <c r="O287" i="23"/>
  <c r="N287" i="23"/>
  <c r="M287" i="23"/>
  <c r="AE286" i="23"/>
  <c r="AD286" i="23"/>
  <c r="Y286" i="23" s="1"/>
  <c r="Z286" i="23" s="1"/>
  <c r="S286" i="23"/>
  <c r="P286" i="23"/>
  <c r="AJ286" i="23" s="1"/>
  <c r="O286" i="23"/>
  <c r="N286" i="23"/>
  <c r="M286" i="23"/>
  <c r="AE285" i="23"/>
  <c r="AD285" i="23"/>
  <c r="Y285" i="23" s="1"/>
  <c r="Z285" i="23" s="1"/>
  <c r="S285" i="23"/>
  <c r="P285" i="23"/>
  <c r="AJ285" i="23" s="1"/>
  <c r="O285" i="23"/>
  <c r="N285" i="23"/>
  <c r="M285" i="23"/>
  <c r="AE284" i="23"/>
  <c r="AD284" i="23"/>
  <c r="Y284" i="23" s="1"/>
  <c r="Z284" i="23" s="1"/>
  <c r="S284" i="23"/>
  <c r="P284" i="23"/>
  <c r="AJ284" i="23" s="1"/>
  <c r="O284" i="23"/>
  <c r="N284" i="23"/>
  <c r="M284" i="23"/>
  <c r="AE283" i="23"/>
  <c r="AD283" i="23"/>
  <c r="Y283" i="23" s="1"/>
  <c r="Z283" i="23" s="1"/>
  <c r="S283" i="23"/>
  <c r="P283" i="23"/>
  <c r="AJ283" i="23" s="1"/>
  <c r="O283" i="23"/>
  <c r="N283" i="23"/>
  <c r="M283" i="23"/>
  <c r="AE282" i="23"/>
  <c r="AD282" i="23"/>
  <c r="Y282" i="23" s="1"/>
  <c r="Z282" i="23" s="1"/>
  <c r="S282" i="23"/>
  <c r="P282" i="23"/>
  <c r="AJ282" i="23" s="1"/>
  <c r="O282" i="23"/>
  <c r="N282" i="23"/>
  <c r="M282" i="23"/>
  <c r="AE281" i="23"/>
  <c r="AD281" i="23"/>
  <c r="Y281" i="23" s="1"/>
  <c r="Z281" i="23" s="1"/>
  <c r="S281" i="23"/>
  <c r="P281" i="23"/>
  <c r="AJ281" i="23" s="1"/>
  <c r="O281" i="23"/>
  <c r="N281" i="23"/>
  <c r="M281" i="23"/>
  <c r="AE280" i="23"/>
  <c r="AD280" i="23"/>
  <c r="Y280" i="23" s="1"/>
  <c r="Z280" i="23" s="1"/>
  <c r="S280" i="23"/>
  <c r="P280" i="23"/>
  <c r="AJ280" i="23" s="1"/>
  <c r="O280" i="23"/>
  <c r="N280" i="23"/>
  <c r="M280" i="23"/>
  <c r="AE279" i="23"/>
  <c r="AD279" i="23"/>
  <c r="Y279" i="23" s="1"/>
  <c r="Z279" i="23" s="1"/>
  <c r="S279" i="23"/>
  <c r="P279" i="23"/>
  <c r="AJ279" i="23" s="1"/>
  <c r="O279" i="23"/>
  <c r="N279" i="23"/>
  <c r="M279" i="23"/>
  <c r="AE278" i="23"/>
  <c r="AD278" i="23"/>
  <c r="Y278" i="23" s="1"/>
  <c r="Z278" i="23" s="1"/>
  <c r="S278" i="23"/>
  <c r="P278" i="23"/>
  <c r="AJ278" i="23" s="1"/>
  <c r="O278" i="23"/>
  <c r="N278" i="23"/>
  <c r="M278" i="23"/>
  <c r="AE277" i="23"/>
  <c r="AD277" i="23"/>
  <c r="Y277" i="23" s="1"/>
  <c r="Z277" i="23" s="1"/>
  <c r="S277" i="23"/>
  <c r="P277" i="23"/>
  <c r="AJ277" i="23" s="1"/>
  <c r="O277" i="23"/>
  <c r="N277" i="23"/>
  <c r="M277" i="23"/>
  <c r="AE276" i="23"/>
  <c r="AD276" i="23"/>
  <c r="Y276" i="23" s="1"/>
  <c r="Z276" i="23" s="1"/>
  <c r="S276" i="23"/>
  <c r="P276" i="23"/>
  <c r="AJ276" i="23" s="1"/>
  <c r="O276" i="23"/>
  <c r="N276" i="23"/>
  <c r="M276" i="23"/>
  <c r="AE275" i="23"/>
  <c r="AD275" i="23"/>
  <c r="Y275" i="23" s="1"/>
  <c r="Z275" i="23" s="1"/>
  <c r="S275" i="23"/>
  <c r="P275" i="23"/>
  <c r="AJ275" i="23" s="1"/>
  <c r="O275" i="23"/>
  <c r="N275" i="23"/>
  <c r="M275" i="23"/>
  <c r="AE274" i="23"/>
  <c r="AD274" i="23"/>
  <c r="Y274" i="23" s="1"/>
  <c r="Z274" i="23" s="1"/>
  <c r="S274" i="23"/>
  <c r="P274" i="23"/>
  <c r="AJ274" i="23" s="1"/>
  <c r="O274" i="23"/>
  <c r="N274" i="23"/>
  <c r="M274" i="23"/>
  <c r="AE273" i="23"/>
  <c r="AD273" i="23"/>
  <c r="Y273" i="23" s="1"/>
  <c r="Z273" i="23" s="1"/>
  <c r="S273" i="23"/>
  <c r="P273" i="23"/>
  <c r="AJ273" i="23" s="1"/>
  <c r="O273" i="23"/>
  <c r="N273" i="23"/>
  <c r="M273" i="23"/>
  <c r="AE272" i="23"/>
  <c r="AD272" i="23"/>
  <c r="Y272" i="23" s="1"/>
  <c r="Z272" i="23" s="1"/>
  <c r="S272" i="23"/>
  <c r="P272" i="23"/>
  <c r="AJ272" i="23" s="1"/>
  <c r="O272" i="23"/>
  <c r="N272" i="23"/>
  <c r="M272" i="23"/>
  <c r="AE271" i="23"/>
  <c r="AD271" i="23"/>
  <c r="Y271" i="23" s="1"/>
  <c r="Z271" i="23" s="1"/>
  <c r="S271" i="23"/>
  <c r="P271" i="23"/>
  <c r="AH271" i="23" s="1"/>
  <c r="O271" i="23"/>
  <c r="N271" i="23"/>
  <c r="M271" i="23"/>
  <c r="AC271" i="23" l="1"/>
  <c r="X271" i="23"/>
  <c r="AB271" i="23"/>
  <c r="AA271" i="23"/>
  <c r="AC272" i="23"/>
  <c r="X272" i="23"/>
  <c r="AB272" i="23"/>
  <c r="AA272" i="23"/>
  <c r="AB273" i="23"/>
  <c r="AA273" i="23"/>
  <c r="AC273" i="23"/>
  <c r="X273" i="23"/>
  <c r="AA274" i="23"/>
  <c r="AC274" i="23"/>
  <c r="AB274" i="23"/>
  <c r="X274" i="23"/>
  <c r="AC275" i="23"/>
  <c r="X275" i="23"/>
  <c r="AA275" i="23"/>
  <c r="AB275" i="23"/>
  <c r="AC276" i="23"/>
  <c r="X276" i="23"/>
  <c r="AB276" i="23"/>
  <c r="AA276" i="23"/>
  <c r="AB277" i="23"/>
  <c r="AA277" i="23"/>
  <c r="X277" i="23"/>
  <c r="AC277" i="23"/>
  <c r="AA278" i="23"/>
  <c r="AB278" i="23"/>
  <c r="X278" i="23"/>
  <c r="AC278" i="23"/>
  <c r="AC279" i="23"/>
  <c r="X279" i="23"/>
  <c r="AB279" i="23"/>
  <c r="AA279" i="23"/>
  <c r="AC280" i="23"/>
  <c r="X280" i="23"/>
  <c r="AB280" i="23"/>
  <c r="AA280" i="23"/>
  <c r="AB281" i="23"/>
  <c r="AA281" i="23"/>
  <c r="AC281" i="23"/>
  <c r="X281" i="23"/>
  <c r="AA282" i="23"/>
  <c r="AC282" i="23"/>
  <c r="AB282" i="23"/>
  <c r="X282" i="23"/>
  <c r="AC283" i="23"/>
  <c r="X283" i="23"/>
  <c r="AA283" i="23"/>
  <c r="AB283" i="23"/>
  <c r="AC284" i="23"/>
  <c r="X284" i="23"/>
  <c r="AB284" i="23"/>
  <c r="AA284" i="23"/>
  <c r="AB285" i="23"/>
  <c r="AA285" i="23"/>
  <c r="X285" i="23"/>
  <c r="AC285" i="23"/>
  <c r="AA286" i="23"/>
  <c r="AB286" i="23"/>
  <c r="X286" i="23"/>
  <c r="AC286" i="23"/>
  <c r="AC287" i="23"/>
  <c r="X287" i="23"/>
  <c r="AB287" i="23"/>
  <c r="AA287" i="23"/>
  <c r="AC288" i="23"/>
  <c r="X288" i="23"/>
  <c r="AB288" i="23"/>
  <c r="AA288" i="23"/>
  <c r="AB289" i="23"/>
  <c r="AA289" i="23"/>
  <c r="AC289" i="23"/>
  <c r="X289" i="23"/>
  <c r="AA290" i="23"/>
  <c r="AC290" i="23"/>
  <c r="AB290" i="23"/>
  <c r="X290" i="23"/>
  <c r="AC291" i="23"/>
  <c r="X291" i="23"/>
  <c r="AA291" i="23"/>
  <c r="AB291" i="23"/>
  <c r="AC292" i="23"/>
  <c r="U292" i="23" s="1"/>
  <c r="X292" i="23"/>
  <c r="AB292" i="23"/>
  <c r="AA292" i="23"/>
  <c r="AB293" i="23"/>
  <c r="AA293" i="23"/>
  <c r="X293" i="23"/>
  <c r="AC293" i="23"/>
  <c r="U293" i="23" s="1"/>
  <c r="AA294" i="23"/>
  <c r="AB294" i="23"/>
  <c r="X294" i="23"/>
  <c r="AC294" i="23"/>
  <c r="U294" i="23" s="1"/>
  <c r="AC295" i="23"/>
  <c r="X295" i="23"/>
  <c r="AB295" i="23"/>
  <c r="AA295" i="23"/>
  <c r="AC296" i="23"/>
  <c r="X296" i="23"/>
  <c r="AB296" i="23"/>
  <c r="AA296" i="23"/>
  <c r="AB297" i="23"/>
  <c r="AA297" i="23"/>
  <c r="AC297" i="23"/>
  <c r="X297" i="23"/>
  <c r="U296" i="23"/>
  <c r="AH290" i="23"/>
  <c r="AJ294" i="23"/>
  <c r="AJ296" i="23"/>
  <c r="AJ298" i="23"/>
  <c r="AH293" i="23"/>
  <c r="AH295" i="23"/>
  <c r="AH297" i="23"/>
  <c r="AJ292" i="23"/>
  <c r="AH289" i="23"/>
  <c r="AH291" i="23"/>
  <c r="AH288" i="23"/>
  <c r="AH287" i="23"/>
  <c r="AH286" i="23"/>
  <c r="AH284" i="23"/>
  <c r="AH285" i="23"/>
  <c r="AH283" i="23"/>
  <c r="AH282" i="23"/>
  <c r="AH280" i="23"/>
  <c r="AH281" i="23"/>
  <c r="AH279" i="23"/>
  <c r="AH278" i="23"/>
  <c r="AH276" i="23"/>
  <c r="AH275" i="23"/>
  <c r="AH277" i="23"/>
  <c r="AH273" i="23"/>
  <c r="AH272" i="23"/>
  <c r="AH274" i="23"/>
  <c r="AJ271" i="23"/>
  <c r="AE270" i="23"/>
  <c r="AD270" i="23"/>
  <c r="Y270" i="23" s="1"/>
  <c r="Z270" i="23" s="1"/>
  <c r="T270" i="23"/>
  <c r="S270" i="23"/>
  <c r="P270" i="23"/>
  <c r="AH270" i="23" s="1"/>
  <c r="O270" i="23"/>
  <c r="N270" i="23"/>
  <c r="M270" i="23"/>
  <c r="AE269" i="23"/>
  <c r="AD269" i="23"/>
  <c r="Y269" i="23" s="1"/>
  <c r="Z269" i="23" s="1"/>
  <c r="T269" i="23"/>
  <c r="S269" i="23"/>
  <c r="P269" i="23"/>
  <c r="AJ269" i="23" s="1"/>
  <c r="O269" i="23"/>
  <c r="N269" i="23"/>
  <c r="M269" i="23"/>
  <c r="AE268" i="23"/>
  <c r="AD268" i="23"/>
  <c r="Y268" i="23" s="1"/>
  <c r="Z268" i="23" s="1"/>
  <c r="S268" i="23"/>
  <c r="P268" i="23"/>
  <c r="AJ268" i="23" s="1"/>
  <c r="O268" i="23"/>
  <c r="N268" i="23"/>
  <c r="M268" i="23"/>
  <c r="AE267" i="23"/>
  <c r="AD267" i="23"/>
  <c r="Y267" i="23" s="1"/>
  <c r="Z267" i="23" s="1"/>
  <c r="S267" i="23"/>
  <c r="P267" i="23"/>
  <c r="AJ267" i="23" s="1"/>
  <c r="O267" i="23"/>
  <c r="N267" i="23"/>
  <c r="M267" i="23"/>
  <c r="AE266" i="23"/>
  <c r="AD266" i="23"/>
  <c r="Y266" i="23" s="1"/>
  <c r="Z266" i="23" s="1"/>
  <c r="S266" i="23"/>
  <c r="P266" i="23"/>
  <c r="AJ266" i="23" s="1"/>
  <c r="O266" i="23"/>
  <c r="N266" i="23"/>
  <c r="M266" i="23"/>
  <c r="AE265" i="23"/>
  <c r="AD265" i="23"/>
  <c r="Y265" i="23" s="1"/>
  <c r="Z265" i="23" s="1"/>
  <c r="S265" i="23"/>
  <c r="P265" i="23"/>
  <c r="AJ265" i="23" s="1"/>
  <c r="O265" i="23"/>
  <c r="N265" i="23"/>
  <c r="M265" i="23"/>
  <c r="AE264" i="23"/>
  <c r="AD264" i="23"/>
  <c r="Y264" i="23" s="1"/>
  <c r="Z264" i="23" s="1"/>
  <c r="S264" i="23"/>
  <c r="P264" i="23"/>
  <c r="AJ264" i="23" s="1"/>
  <c r="O264" i="23"/>
  <c r="N264" i="23"/>
  <c r="M264" i="23"/>
  <c r="AE263" i="23"/>
  <c r="AD263" i="23"/>
  <c r="Y263" i="23" s="1"/>
  <c r="Z263" i="23" s="1"/>
  <c r="S263" i="23"/>
  <c r="P263" i="23"/>
  <c r="AJ263" i="23" s="1"/>
  <c r="O263" i="23"/>
  <c r="N263" i="23"/>
  <c r="M263" i="23"/>
  <c r="AE262" i="23"/>
  <c r="AD262" i="23"/>
  <c r="Y262" i="23" s="1"/>
  <c r="Z262" i="23" s="1"/>
  <c r="S262" i="23"/>
  <c r="P262" i="23"/>
  <c r="AJ262" i="23" s="1"/>
  <c r="O262" i="23"/>
  <c r="N262" i="23"/>
  <c r="M262" i="23"/>
  <c r="AE261" i="23"/>
  <c r="AD261" i="23"/>
  <c r="Y261" i="23" s="1"/>
  <c r="Z261" i="23" s="1"/>
  <c r="S261" i="23"/>
  <c r="P261" i="23"/>
  <c r="AJ261" i="23" s="1"/>
  <c r="O261" i="23"/>
  <c r="N261" i="23"/>
  <c r="M261" i="23"/>
  <c r="AE260" i="23"/>
  <c r="AD260" i="23"/>
  <c r="Y260" i="23" s="1"/>
  <c r="Z260" i="23" s="1"/>
  <c r="S260" i="23"/>
  <c r="P260" i="23"/>
  <c r="AJ260" i="23" s="1"/>
  <c r="O260" i="23"/>
  <c r="N260" i="23"/>
  <c r="M260" i="23"/>
  <c r="AE259" i="23"/>
  <c r="AD259" i="23"/>
  <c r="Y259" i="23" s="1"/>
  <c r="Z259" i="23" s="1"/>
  <c r="S259" i="23"/>
  <c r="P259" i="23"/>
  <c r="AJ259" i="23" s="1"/>
  <c r="O259" i="23"/>
  <c r="N259" i="23"/>
  <c r="M259" i="23"/>
  <c r="AE258" i="23"/>
  <c r="AD258" i="23"/>
  <c r="Y258" i="23" s="1"/>
  <c r="Z258" i="23" s="1"/>
  <c r="S258" i="23"/>
  <c r="P258" i="23"/>
  <c r="AJ258" i="23" s="1"/>
  <c r="O258" i="23"/>
  <c r="N258" i="23"/>
  <c r="M258" i="23"/>
  <c r="AE257" i="23"/>
  <c r="AD257" i="23"/>
  <c r="Y257" i="23" s="1"/>
  <c r="Z257" i="23" s="1"/>
  <c r="S257" i="23"/>
  <c r="P257" i="23"/>
  <c r="AJ257" i="23" s="1"/>
  <c r="O257" i="23"/>
  <c r="N257" i="23"/>
  <c r="M257" i="23"/>
  <c r="AE256" i="23"/>
  <c r="AD256" i="23"/>
  <c r="Y256" i="23" s="1"/>
  <c r="Z256" i="23" s="1"/>
  <c r="S256" i="23"/>
  <c r="P256" i="23"/>
  <c r="AJ256" i="23" s="1"/>
  <c r="O256" i="23"/>
  <c r="N256" i="23"/>
  <c r="M256" i="23"/>
  <c r="AE255" i="23"/>
  <c r="AD255" i="23"/>
  <c r="Y255" i="23" s="1"/>
  <c r="Z255" i="23" s="1"/>
  <c r="S255" i="23"/>
  <c r="P255" i="23"/>
  <c r="AJ255" i="23" s="1"/>
  <c r="O255" i="23"/>
  <c r="N255" i="23"/>
  <c r="M255" i="23"/>
  <c r="AE254" i="23"/>
  <c r="AD254" i="23"/>
  <c r="Y254" i="23" s="1"/>
  <c r="Z254" i="23" s="1"/>
  <c r="S254" i="23"/>
  <c r="P254" i="23"/>
  <c r="AJ254" i="23" s="1"/>
  <c r="O254" i="23"/>
  <c r="N254" i="23"/>
  <c r="M254" i="23"/>
  <c r="AE253" i="23"/>
  <c r="AD253" i="23"/>
  <c r="Y253" i="23" s="1"/>
  <c r="Z253" i="23" s="1"/>
  <c r="S253" i="23"/>
  <c r="P253" i="23"/>
  <c r="AJ253" i="23" s="1"/>
  <c r="O253" i="23"/>
  <c r="N253" i="23"/>
  <c r="M253" i="23"/>
  <c r="AE252" i="23"/>
  <c r="AD252" i="23"/>
  <c r="Y252" i="23" s="1"/>
  <c r="Z252" i="23" s="1"/>
  <c r="S252" i="23"/>
  <c r="P252" i="23"/>
  <c r="AJ252" i="23" s="1"/>
  <c r="O252" i="23"/>
  <c r="N252" i="23"/>
  <c r="M252" i="23"/>
  <c r="AE251" i="23"/>
  <c r="AD251" i="23"/>
  <c r="Y251" i="23" s="1"/>
  <c r="Z251" i="23" s="1"/>
  <c r="T251" i="23"/>
  <c r="S251" i="23"/>
  <c r="P251" i="23"/>
  <c r="AJ251" i="23" s="1"/>
  <c r="O251" i="23"/>
  <c r="N251" i="23"/>
  <c r="M251" i="23"/>
  <c r="AE250" i="23"/>
  <c r="AD250" i="23"/>
  <c r="Y250" i="23" s="1"/>
  <c r="Z250" i="23" s="1"/>
  <c r="T250" i="23"/>
  <c r="S250" i="23"/>
  <c r="P250" i="23"/>
  <c r="AJ250" i="23" s="1"/>
  <c r="O250" i="23"/>
  <c r="N250" i="23"/>
  <c r="M250" i="23"/>
  <c r="AE249" i="23"/>
  <c r="AD249" i="23"/>
  <c r="Y249" i="23" s="1"/>
  <c r="Z249" i="23" s="1"/>
  <c r="S249" i="23"/>
  <c r="P249" i="23"/>
  <c r="AH249" i="23" s="1"/>
  <c r="O249" i="23"/>
  <c r="N249" i="23"/>
  <c r="M249" i="23"/>
  <c r="R269" i="23" l="1"/>
  <c r="R270" i="23"/>
  <c r="R250" i="23"/>
  <c r="R251" i="23"/>
  <c r="AB249" i="23"/>
  <c r="AA249" i="23"/>
  <c r="AC249" i="23"/>
  <c r="U249" i="23" s="1"/>
  <c r="X249" i="23"/>
  <c r="AA270" i="23"/>
  <c r="AB270" i="23"/>
  <c r="X270" i="23"/>
  <c r="AC270" i="23"/>
  <c r="U270" i="23" s="1"/>
  <c r="AC251" i="23"/>
  <c r="U251" i="23" s="1"/>
  <c r="X251" i="23"/>
  <c r="AA251" i="23"/>
  <c r="AB251" i="23"/>
  <c r="AC252" i="23"/>
  <c r="X252" i="23"/>
  <c r="AB252" i="23"/>
  <c r="AA252" i="23"/>
  <c r="AB253" i="23"/>
  <c r="AA253" i="23"/>
  <c r="X253" i="23"/>
  <c r="AC253" i="23"/>
  <c r="U253" i="23" s="1"/>
  <c r="AA254" i="23"/>
  <c r="AB254" i="23"/>
  <c r="X254" i="23"/>
  <c r="AC254" i="23"/>
  <c r="U254" i="23" s="1"/>
  <c r="AC255" i="23"/>
  <c r="X255" i="23"/>
  <c r="AB255" i="23"/>
  <c r="AA255" i="23"/>
  <c r="AC256" i="23"/>
  <c r="X256" i="23"/>
  <c r="AB256" i="23"/>
  <c r="AA256" i="23"/>
  <c r="AB257" i="23"/>
  <c r="AA257" i="23"/>
  <c r="AC257" i="23"/>
  <c r="X257" i="23"/>
  <c r="AA258" i="23"/>
  <c r="AC258" i="23"/>
  <c r="U258" i="23" s="1"/>
  <c r="AB258" i="23"/>
  <c r="X258" i="23"/>
  <c r="AC259" i="23"/>
  <c r="U259" i="23" s="1"/>
  <c r="X259" i="23"/>
  <c r="AA259" i="23"/>
  <c r="AB259" i="23"/>
  <c r="AC260" i="23"/>
  <c r="U260" i="23" s="1"/>
  <c r="X260" i="23"/>
  <c r="AB260" i="23"/>
  <c r="AA260" i="23"/>
  <c r="AB261" i="23"/>
  <c r="AA261" i="23"/>
  <c r="X261" i="23"/>
  <c r="AC261" i="23"/>
  <c r="U261" i="23" s="1"/>
  <c r="AA262" i="23"/>
  <c r="AB262" i="23"/>
  <c r="X262" i="23"/>
  <c r="AC262" i="23"/>
  <c r="AC263" i="23"/>
  <c r="X263" i="23"/>
  <c r="AB263" i="23"/>
  <c r="AA263" i="23"/>
  <c r="AC264" i="23"/>
  <c r="X264" i="23"/>
  <c r="AB264" i="23"/>
  <c r="AA264" i="23"/>
  <c r="AB265" i="23"/>
  <c r="AA265" i="23"/>
  <c r="AC265" i="23"/>
  <c r="X265" i="23"/>
  <c r="AA266" i="23"/>
  <c r="AC266" i="23"/>
  <c r="AB266" i="23"/>
  <c r="X266" i="23"/>
  <c r="AC267" i="23"/>
  <c r="X267" i="23"/>
  <c r="AA267" i="23"/>
  <c r="AB267" i="23"/>
  <c r="AC268" i="23"/>
  <c r="U268" i="23" s="1"/>
  <c r="X268" i="23"/>
  <c r="AB268" i="23"/>
  <c r="AA268" i="23"/>
  <c r="AB269" i="23"/>
  <c r="AA269" i="23"/>
  <c r="X269" i="23"/>
  <c r="AC269" i="23"/>
  <c r="U269" i="23" s="1"/>
  <c r="AA250" i="23"/>
  <c r="AC250" i="23"/>
  <c r="U250" i="23" s="1"/>
  <c r="AB250" i="23"/>
  <c r="X250" i="23"/>
  <c r="AH268" i="23"/>
  <c r="AH269" i="23"/>
  <c r="AJ270" i="23"/>
  <c r="AH251" i="23"/>
  <c r="AH255" i="23"/>
  <c r="AH256" i="23"/>
  <c r="AH262" i="23"/>
  <c r="AH264" i="23"/>
  <c r="AH266" i="23"/>
  <c r="AH263" i="23"/>
  <c r="AH265" i="23"/>
  <c r="AH267" i="23"/>
  <c r="AH250" i="23"/>
  <c r="AH252" i="23"/>
  <c r="AH253" i="23"/>
  <c r="AH254" i="23"/>
  <c r="AH257" i="23"/>
  <c r="AH258" i="23"/>
  <c r="AH259" i="23"/>
  <c r="AH260" i="23"/>
  <c r="AH261" i="23"/>
  <c r="AJ249" i="23"/>
  <c r="AE248" i="23"/>
  <c r="AD248" i="23"/>
  <c r="Y248" i="23" s="1"/>
  <c r="Z248" i="23" s="1"/>
  <c r="S248" i="23"/>
  <c r="P248" i="23"/>
  <c r="AJ248" i="23" s="1"/>
  <c r="O248" i="23"/>
  <c r="N248" i="23"/>
  <c r="M248" i="23"/>
  <c r="AE247" i="23"/>
  <c r="AD247" i="23"/>
  <c r="Y247" i="23" s="1"/>
  <c r="Z247" i="23" s="1"/>
  <c r="S247" i="23"/>
  <c r="P247" i="23"/>
  <c r="AJ247" i="23" s="1"/>
  <c r="O247" i="23"/>
  <c r="N247" i="23"/>
  <c r="M247" i="23"/>
  <c r="AE246" i="23"/>
  <c r="AD246" i="23"/>
  <c r="Y246" i="23" s="1"/>
  <c r="Z246" i="23" s="1"/>
  <c r="S246" i="23"/>
  <c r="P246" i="23"/>
  <c r="AJ246" i="23" s="1"/>
  <c r="O246" i="23"/>
  <c r="N246" i="23"/>
  <c r="M246" i="23"/>
  <c r="AE245" i="23"/>
  <c r="AD245" i="23"/>
  <c r="Y245" i="23" s="1"/>
  <c r="Z245" i="23" s="1"/>
  <c r="S245" i="23"/>
  <c r="P245" i="23"/>
  <c r="AJ245" i="23" s="1"/>
  <c r="O245" i="23"/>
  <c r="N245" i="23"/>
  <c r="M245" i="23"/>
  <c r="AB245" i="23" l="1"/>
  <c r="AA245" i="23"/>
  <c r="X245" i="23"/>
  <c r="AC245" i="23"/>
  <c r="AA246" i="23"/>
  <c r="AB246" i="23"/>
  <c r="X246" i="23"/>
  <c r="AC246" i="23"/>
  <c r="AC247" i="23"/>
  <c r="U247" i="23" s="1"/>
  <c r="X247" i="23"/>
  <c r="AB247" i="23"/>
  <c r="AA247" i="23"/>
  <c r="AC248" i="23"/>
  <c r="X248" i="23"/>
  <c r="AB248" i="23"/>
  <c r="AA248" i="23"/>
  <c r="AH245" i="23"/>
  <c r="AH247" i="23"/>
  <c r="AH248" i="23"/>
  <c r="AH246" i="23"/>
  <c r="AL9" i="26"/>
  <c r="AG9" i="26" s="1"/>
  <c r="AO9" i="26"/>
  <c r="AN9" i="26" s="1"/>
  <c r="AE9" i="26"/>
  <c r="AB10" i="26"/>
  <c r="AB11" i="26" s="1"/>
  <c r="AB12" i="26" s="1"/>
  <c r="AB13" i="26" s="1"/>
  <c r="AB14" i="26" s="1"/>
  <c r="AB15" i="26" s="1"/>
  <c r="AB16" i="26" s="1"/>
  <c r="AB17" i="26" s="1"/>
  <c r="AB18" i="26" s="1"/>
  <c r="AB19" i="26" s="1"/>
  <c r="AB20" i="26" s="1"/>
  <c r="AB21" i="26" s="1"/>
  <c r="AB22" i="26" s="1"/>
  <c r="AB23" i="26" s="1"/>
  <c r="AB24" i="26" s="1"/>
  <c r="AB25" i="26" s="1"/>
  <c r="AB26" i="26" s="1"/>
  <c r="AB27" i="26" s="1"/>
  <c r="AB28" i="26" s="1"/>
  <c r="AB29" i="26" s="1"/>
  <c r="AB30" i="26" s="1"/>
  <c r="AO30" i="26" s="1"/>
  <c r="AN30" i="26" s="1"/>
  <c r="AC9" i="26" l="1"/>
  <c r="AE28" i="26"/>
  <c r="AE20" i="26"/>
  <c r="AE27" i="26"/>
  <c r="AE23" i="26"/>
  <c r="AE19" i="26"/>
  <c r="AE15" i="26"/>
  <c r="AE11" i="26"/>
  <c r="AE29" i="26"/>
  <c r="AE25" i="26"/>
  <c r="AE21" i="26"/>
  <c r="AE17" i="26"/>
  <c r="AE13" i="26"/>
  <c r="AE24" i="26"/>
  <c r="AE16" i="26"/>
  <c r="AE12" i="26"/>
  <c r="AE30" i="26"/>
  <c r="AE26" i="26"/>
  <c r="AE22" i="26"/>
  <c r="AE18" i="26"/>
  <c r="AE14" i="26"/>
  <c r="AE10" i="26"/>
  <c r="AL12" i="26"/>
  <c r="AG12" i="26" s="1"/>
  <c r="AL28" i="26"/>
  <c r="AG28" i="26" s="1"/>
  <c r="AO19" i="26"/>
  <c r="AN19" i="26" s="1"/>
  <c r="AO23" i="26"/>
  <c r="AN23" i="26" s="1"/>
  <c r="AO27" i="26"/>
  <c r="AN27" i="26" s="1"/>
  <c r="AL16" i="26"/>
  <c r="AG16" i="26" s="1"/>
  <c r="AO11" i="26"/>
  <c r="AN11" i="26" s="1"/>
  <c r="AO15" i="26"/>
  <c r="AN15" i="26" s="1"/>
  <c r="AL13" i="26"/>
  <c r="AG13" i="26" s="1"/>
  <c r="AL17" i="26"/>
  <c r="AG17" i="26" s="1"/>
  <c r="AL21" i="26"/>
  <c r="AG21" i="26" s="1"/>
  <c r="AL25" i="26"/>
  <c r="AG25" i="26" s="1"/>
  <c r="AL29" i="26"/>
  <c r="AG29" i="26" s="1"/>
  <c r="AO12" i="26"/>
  <c r="AN12" i="26" s="1"/>
  <c r="AO16" i="26"/>
  <c r="AN16" i="26" s="1"/>
  <c r="AO20" i="26"/>
  <c r="AN20" i="26" s="1"/>
  <c r="AO24" i="26"/>
  <c r="AN24" i="26" s="1"/>
  <c r="AO28" i="26"/>
  <c r="AN28" i="26" s="1"/>
  <c r="AL24" i="26"/>
  <c r="AG24" i="26" s="1"/>
  <c r="AL10" i="26"/>
  <c r="AG10" i="26" s="1"/>
  <c r="AL14" i="26"/>
  <c r="AG14" i="26" s="1"/>
  <c r="AL18" i="26"/>
  <c r="AG18" i="26" s="1"/>
  <c r="AL22" i="26"/>
  <c r="AG22" i="26" s="1"/>
  <c r="AL26" i="26"/>
  <c r="AG26" i="26" s="1"/>
  <c r="AL30" i="26"/>
  <c r="AG30" i="26" s="1"/>
  <c r="AO13" i="26"/>
  <c r="AN13" i="26" s="1"/>
  <c r="AO17" i="26"/>
  <c r="AN17" i="26" s="1"/>
  <c r="AO21" i="26"/>
  <c r="AN21" i="26" s="1"/>
  <c r="AO25" i="26"/>
  <c r="AN25" i="26" s="1"/>
  <c r="AO29" i="26"/>
  <c r="AN29" i="26" s="1"/>
  <c r="AL20" i="26"/>
  <c r="AG20" i="26" s="1"/>
  <c r="AL11" i="26"/>
  <c r="AG11" i="26" s="1"/>
  <c r="AL15" i="26"/>
  <c r="AG15" i="26" s="1"/>
  <c r="AL19" i="26"/>
  <c r="AG19" i="26" s="1"/>
  <c r="AL23" i="26"/>
  <c r="AG23" i="26" s="1"/>
  <c r="AL27" i="26"/>
  <c r="AG27" i="26" s="1"/>
  <c r="AO10" i="26"/>
  <c r="AN10" i="26" s="1"/>
  <c r="AO14" i="26"/>
  <c r="AN14" i="26" s="1"/>
  <c r="AO18" i="26"/>
  <c r="AN18" i="26" s="1"/>
  <c r="AO22" i="26"/>
  <c r="AN22" i="26" s="1"/>
  <c r="AO26" i="26"/>
  <c r="AN26" i="26" s="1"/>
  <c r="AO6" i="26"/>
  <c r="AL6" i="26"/>
  <c r="AK6" i="26"/>
  <c r="AJ6" i="26"/>
  <c r="AI6" i="26"/>
  <c r="AH6" i="26"/>
  <c r="AD1" i="26"/>
  <c r="AC11" i="26" l="1"/>
  <c r="AC27" i="26"/>
  <c r="AC22" i="26"/>
  <c r="AC16" i="26"/>
  <c r="AC21" i="26"/>
  <c r="AC15" i="26"/>
  <c r="AC20" i="26"/>
  <c r="AC12" i="26"/>
  <c r="AC17" i="26"/>
  <c r="AC10" i="26"/>
  <c r="AC26" i="26"/>
  <c r="AC24" i="26"/>
  <c r="AC25" i="26"/>
  <c r="AC19" i="26"/>
  <c r="AC28" i="26"/>
  <c r="AC18" i="26"/>
  <c r="AC14" i="26"/>
  <c r="AC30" i="26"/>
  <c r="AC13" i="26"/>
  <c r="AC29" i="26"/>
  <c r="AC23" i="26"/>
  <c r="AC6" i="26"/>
  <c r="AE244" i="23"/>
  <c r="AD244" i="23"/>
  <c r="Y244" i="23" s="1"/>
  <c r="Z244" i="23" s="1"/>
  <c r="S244" i="23"/>
  <c r="P244" i="23"/>
  <c r="AJ244" i="23" s="1"/>
  <c r="O244" i="23"/>
  <c r="N244" i="23"/>
  <c r="M244" i="23"/>
  <c r="AE243" i="23"/>
  <c r="AD243" i="23"/>
  <c r="Y243" i="23" s="1"/>
  <c r="Z243" i="23" s="1"/>
  <c r="S243" i="23"/>
  <c r="P243" i="23"/>
  <c r="AJ243" i="23" s="1"/>
  <c r="O243" i="23"/>
  <c r="N243" i="23"/>
  <c r="M243" i="23"/>
  <c r="AE242" i="23"/>
  <c r="AD242" i="23"/>
  <c r="Y242" i="23" s="1"/>
  <c r="Z242" i="23" s="1"/>
  <c r="S242" i="23"/>
  <c r="P242" i="23"/>
  <c r="AJ242" i="23" s="1"/>
  <c r="O242" i="23"/>
  <c r="N242" i="23"/>
  <c r="M242" i="23"/>
  <c r="AE241" i="23"/>
  <c r="AD241" i="23"/>
  <c r="Y241" i="23" s="1"/>
  <c r="Z241" i="23" s="1"/>
  <c r="S241" i="23"/>
  <c r="P241" i="23"/>
  <c r="AJ241" i="23" s="1"/>
  <c r="O241" i="23"/>
  <c r="N241" i="23"/>
  <c r="M241" i="23"/>
  <c r="AE240" i="23"/>
  <c r="AD240" i="23"/>
  <c r="Y240" i="23" s="1"/>
  <c r="Z240" i="23" s="1"/>
  <c r="S240" i="23"/>
  <c r="P240" i="23"/>
  <c r="AJ240" i="23" s="1"/>
  <c r="O240" i="23"/>
  <c r="N240" i="23"/>
  <c r="M240" i="23"/>
  <c r="AB241" i="23" l="1"/>
  <c r="AA241" i="23"/>
  <c r="AC241" i="23"/>
  <c r="X241" i="23"/>
  <c r="AC243" i="23"/>
  <c r="U243" i="23" s="1"/>
  <c r="X243" i="23"/>
  <c r="AA243" i="23"/>
  <c r="AB243" i="23"/>
  <c r="AC244" i="23"/>
  <c r="X244" i="23"/>
  <c r="AB244" i="23"/>
  <c r="AA244" i="23"/>
  <c r="AC240" i="23"/>
  <c r="U240" i="23" s="1"/>
  <c r="X240" i="23"/>
  <c r="AB240" i="23"/>
  <c r="AA240" i="23"/>
  <c r="AA242" i="23"/>
  <c r="AC242" i="23"/>
  <c r="AB242" i="23"/>
  <c r="X242" i="23"/>
  <c r="AH244" i="23"/>
  <c r="AH242" i="23"/>
  <c r="AH240" i="23"/>
  <c r="AH241" i="23"/>
  <c r="AH243" i="23"/>
  <c r="AE239" i="23"/>
  <c r="AD239" i="23"/>
  <c r="Y239" i="23" s="1"/>
  <c r="Z239" i="23" s="1"/>
  <c r="S239" i="23"/>
  <c r="P239" i="23"/>
  <c r="AJ239" i="23" s="1"/>
  <c r="O239" i="23"/>
  <c r="N239" i="23"/>
  <c r="M239" i="23"/>
  <c r="AE238" i="23"/>
  <c r="AD238" i="23"/>
  <c r="Y238" i="23" s="1"/>
  <c r="Z238" i="23" s="1"/>
  <c r="S238" i="23"/>
  <c r="P238" i="23"/>
  <c r="AJ238" i="23" s="1"/>
  <c r="O238" i="23"/>
  <c r="N238" i="23"/>
  <c r="M238" i="23"/>
  <c r="AE237" i="23"/>
  <c r="AD237" i="23"/>
  <c r="Y237" i="23" s="1"/>
  <c r="Z237" i="23" s="1"/>
  <c r="S237" i="23"/>
  <c r="P237" i="23"/>
  <c r="AJ237" i="23" s="1"/>
  <c r="O237" i="23"/>
  <c r="N237" i="23"/>
  <c r="M237" i="23"/>
  <c r="AE236" i="23"/>
  <c r="AD236" i="23"/>
  <c r="Y236" i="23" s="1"/>
  <c r="Z236" i="23" s="1"/>
  <c r="S236" i="23"/>
  <c r="P236" i="23"/>
  <c r="AJ236" i="23" s="1"/>
  <c r="O236" i="23"/>
  <c r="N236" i="23"/>
  <c r="M236" i="23"/>
  <c r="AE235" i="23"/>
  <c r="AD235" i="23"/>
  <c r="Y235" i="23" s="1"/>
  <c r="Z235" i="23" s="1"/>
  <c r="S235" i="23"/>
  <c r="P235" i="23"/>
  <c r="AJ235" i="23" s="1"/>
  <c r="O235" i="23"/>
  <c r="N235" i="23"/>
  <c r="M235" i="23"/>
  <c r="AE234" i="23"/>
  <c r="AD234" i="23"/>
  <c r="Y234" i="23" s="1"/>
  <c r="Z234" i="23" s="1"/>
  <c r="S234" i="23"/>
  <c r="P234" i="23"/>
  <c r="AJ234" i="23" s="1"/>
  <c r="O234" i="23"/>
  <c r="N234" i="23"/>
  <c r="M234" i="23"/>
  <c r="AE233" i="23"/>
  <c r="AD233" i="23"/>
  <c r="Y233" i="23" s="1"/>
  <c r="Z233" i="23" s="1"/>
  <c r="S233" i="23"/>
  <c r="P233" i="23"/>
  <c r="AJ233" i="23" s="1"/>
  <c r="O233" i="23"/>
  <c r="N233" i="23"/>
  <c r="M233" i="23"/>
  <c r="AE232" i="23"/>
  <c r="AD232" i="23"/>
  <c r="Y232" i="23" s="1"/>
  <c r="Z232" i="23" s="1"/>
  <c r="S232" i="23"/>
  <c r="P232" i="23"/>
  <c r="AJ232" i="23" s="1"/>
  <c r="O232" i="23"/>
  <c r="N232" i="23"/>
  <c r="M232" i="23"/>
  <c r="AE231" i="23"/>
  <c r="AD231" i="23"/>
  <c r="Y231" i="23" s="1"/>
  <c r="Z231" i="23" s="1"/>
  <c r="S231" i="23"/>
  <c r="P231" i="23"/>
  <c r="AJ231" i="23" s="1"/>
  <c r="O231" i="23"/>
  <c r="N231" i="23"/>
  <c r="M231" i="23"/>
  <c r="AE230" i="23"/>
  <c r="AD230" i="23"/>
  <c r="Y230" i="23" s="1"/>
  <c r="Z230" i="23" s="1"/>
  <c r="S230" i="23"/>
  <c r="P230" i="23"/>
  <c r="AJ230" i="23" s="1"/>
  <c r="O230" i="23"/>
  <c r="N230" i="23"/>
  <c r="M230" i="23"/>
  <c r="AE229" i="23"/>
  <c r="AD229" i="23"/>
  <c r="Y229" i="23" s="1"/>
  <c r="Z229" i="23" s="1"/>
  <c r="S229" i="23"/>
  <c r="P229" i="23"/>
  <c r="AJ229" i="23" s="1"/>
  <c r="O229" i="23"/>
  <c r="N229" i="23"/>
  <c r="M229" i="23"/>
  <c r="AE228" i="23"/>
  <c r="AD228" i="23"/>
  <c r="Y228" i="23" s="1"/>
  <c r="Z228" i="23" s="1"/>
  <c r="S228" i="23"/>
  <c r="P228" i="23"/>
  <c r="AJ228" i="23" s="1"/>
  <c r="O228" i="23"/>
  <c r="N228" i="23"/>
  <c r="M228" i="23"/>
  <c r="AE227" i="23"/>
  <c r="AD227" i="23"/>
  <c r="Y227" i="23" s="1"/>
  <c r="Z227" i="23" s="1"/>
  <c r="S227" i="23"/>
  <c r="P227" i="23"/>
  <c r="AJ227" i="23" s="1"/>
  <c r="O227" i="23"/>
  <c r="N227" i="23"/>
  <c r="M227" i="23"/>
  <c r="AE226" i="23"/>
  <c r="AD226" i="23"/>
  <c r="Y226" i="23" s="1"/>
  <c r="Z226" i="23" s="1"/>
  <c r="S226" i="23"/>
  <c r="P226" i="23"/>
  <c r="AJ226" i="23" s="1"/>
  <c r="O226" i="23"/>
  <c r="N226" i="23"/>
  <c r="M226" i="23"/>
  <c r="AE225" i="23"/>
  <c r="AD225" i="23"/>
  <c r="Y225" i="23" s="1"/>
  <c r="Z225" i="23" s="1"/>
  <c r="S225" i="23"/>
  <c r="P225" i="23"/>
  <c r="AJ225" i="23" s="1"/>
  <c r="O225" i="23"/>
  <c r="N225" i="23"/>
  <c r="M225" i="23"/>
  <c r="AE224" i="23"/>
  <c r="AD224" i="23"/>
  <c r="Y224" i="23" s="1"/>
  <c r="Z224" i="23" s="1"/>
  <c r="S224" i="23"/>
  <c r="P224" i="23"/>
  <c r="AJ224" i="23" s="1"/>
  <c r="O224" i="23"/>
  <c r="N224" i="23"/>
  <c r="M224" i="23"/>
  <c r="AE223" i="23"/>
  <c r="AD223" i="23"/>
  <c r="Y223" i="23" s="1"/>
  <c r="Z223" i="23" s="1"/>
  <c r="S223" i="23"/>
  <c r="P223" i="23"/>
  <c r="AJ223" i="23" s="1"/>
  <c r="O223" i="23"/>
  <c r="N223" i="23"/>
  <c r="M223" i="23"/>
  <c r="AE222" i="23"/>
  <c r="AD222" i="23"/>
  <c r="Y222" i="23" s="1"/>
  <c r="Z222" i="23" s="1"/>
  <c r="S222" i="23"/>
  <c r="P222" i="23"/>
  <c r="AJ222" i="23" s="1"/>
  <c r="O222" i="23"/>
  <c r="N222" i="23"/>
  <c r="M222" i="23"/>
  <c r="AA226" i="23" l="1"/>
  <c r="AC226" i="23"/>
  <c r="AB226" i="23"/>
  <c r="X226" i="23"/>
  <c r="AC227" i="23"/>
  <c r="X227" i="23"/>
  <c r="AA227" i="23"/>
  <c r="AB227" i="23"/>
  <c r="AC228" i="23"/>
  <c r="X228" i="23"/>
  <c r="AB228" i="23"/>
  <c r="AA228" i="23"/>
  <c r="AA230" i="23"/>
  <c r="AB230" i="23"/>
  <c r="X230" i="23"/>
  <c r="AC230" i="23"/>
  <c r="U230" i="23" s="1"/>
  <c r="AC231" i="23"/>
  <c r="X231" i="23"/>
  <c r="AB231" i="23"/>
  <c r="AA231" i="23"/>
  <c r="AC232" i="23"/>
  <c r="X232" i="23"/>
  <c r="AB232" i="23"/>
  <c r="AA232" i="23"/>
  <c r="AB233" i="23"/>
  <c r="AA233" i="23"/>
  <c r="AC233" i="23"/>
  <c r="X233" i="23"/>
  <c r="AA234" i="23"/>
  <c r="AC234" i="23"/>
  <c r="AB234" i="23"/>
  <c r="X234" i="23"/>
  <c r="AC235" i="23"/>
  <c r="X235" i="23"/>
  <c r="AA235" i="23"/>
  <c r="AB235" i="23"/>
  <c r="AC236" i="23"/>
  <c r="X236" i="23"/>
  <c r="AB236" i="23"/>
  <c r="AA236" i="23"/>
  <c r="AB237" i="23"/>
  <c r="AA237" i="23"/>
  <c r="X237" i="23"/>
  <c r="AC237" i="23"/>
  <c r="AA238" i="23"/>
  <c r="AB238" i="23"/>
  <c r="X238" i="23"/>
  <c r="AC238" i="23"/>
  <c r="AC239" i="23"/>
  <c r="X239" i="23"/>
  <c r="AB239" i="23"/>
  <c r="AA239" i="23"/>
  <c r="AA222" i="23"/>
  <c r="AB222" i="23"/>
  <c r="X222" i="23"/>
  <c r="AC222" i="23"/>
  <c r="U222" i="23" s="1"/>
  <c r="AC223" i="23"/>
  <c r="X223" i="23"/>
  <c r="AB223" i="23"/>
  <c r="AA223" i="23"/>
  <c r="AC224" i="23"/>
  <c r="X224" i="23"/>
  <c r="AB224" i="23"/>
  <c r="AA224" i="23"/>
  <c r="AB225" i="23"/>
  <c r="AA225" i="23"/>
  <c r="AC225" i="23"/>
  <c r="X225" i="23"/>
  <c r="AB229" i="23"/>
  <c r="AA229" i="23"/>
  <c r="X229" i="23"/>
  <c r="AC229" i="23"/>
  <c r="U231" i="23"/>
  <c r="AH238" i="23"/>
  <c r="AH239" i="23"/>
  <c r="AH236" i="23"/>
  <c r="AH235" i="23"/>
  <c r="AH237" i="23"/>
  <c r="AH233" i="23"/>
  <c r="AH234" i="23"/>
  <c r="AH232" i="23"/>
  <c r="AH231" i="23"/>
  <c r="AH230" i="23"/>
  <c r="AH228" i="23"/>
  <c r="AH224" i="23"/>
  <c r="AH226" i="23"/>
  <c r="AH225" i="23"/>
  <c r="AH227" i="23"/>
  <c r="AH229" i="23"/>
  <c r="AH222" i="23"/>
  <c r="AH223" i="23"/>
  <c r="AE221" i="23"/>
  <c r="AD221" i="23"/>
  <c r="Y221" i="23" s="1"/>
  <c r="Z221" i="23" s="1"/>
  <c r="T221" i="23"/>
  <c r="S221" i="23"/>
  <c r="P221" i="23"/>
  <c r="AJ221" i="23" s="1"/>
  <c r="O221" i="23"/>
  <c r="N221" i="23"/>
  <c r="M221" i="23"/>
  <c r="AE220" i="23"/>
  <c r="AD220" i="23"/>
  <c r="Y220" i="23" s="1"/>
  <c r="Z220" i="23" s="1"/>
  <c r="T220" i="23"/>
  <c r="S220" i="23"/>
  <c r="P220" i="23"/>
  <c r="AJ220" i="23" s="1"/>
  <c r="O220" i="23"/>
  <c r="N220" i="23"/>
  <c r="M220" i="23"/>
  <c r="AE219" i="23"/>
  <c r="AD219" i="23"/>
  <c r="Y219" i="23" s="1"/>
  <c r="Z219" i="23" s="1"/>
  <c r="T219" i="23"/>
  <c r="S219" i="23"/>
  <c r="P219" i="23"/>
  <c r="AH219" i="23" s="1"/>
  <c r="O219" i="23"/>
  <c r="N219" i="23"/>
  <c r="M219" i="23"/>
  <c r="AE218" i="23"/>
  <c r="AD218" i="23"/>
  <c r="Y218" i="23" s="1"/>
  <c r="Z218" i="23" s="1"/>
  <c r="T218" i="23"/>
  <c r="S218" i="23"/>
  <c r="P218" i="23"/>
  <c r="AJ218" i="23" s="1"/>
  <c r="O218" i="23"/>
  <c r="N218" i="23"/>
  <c r="M218" i="23"/>
  <c r="R218" i="23" l="1"/>
  <c r="R219" i="23"/>
  <c r="R220" i="23"/>
  <c r="R221" i="23"/>
  <c r="AC219" i="23"/>
  <c r="U219" i="23" s="1"/>
  <c r="X219" i="23"/>
  <c r="AA219" i="23"/>
  <c r="AB219" i="23"/>
  <c r="AC220" i="23"/>
  <c r="U220" i="23" s="1"/>
  <c r="X220" i="23"/>
  <c r="AB220" i="23"/>
  <c r="AA220" i="23"/>
  <c r="AA218" i="23"/>
  <c r="AC218" i="23"/>
  <c r="U218" i="23" s="1"/>
  <c r="AB218" i="23"/>
  <c r="X218" i="23"/>
  <c r="AB221" i="23"/>
  <c r="AA221" i="23"/>
  <c r="X221" i="23"/>
  <c r="AC221" i="23"/>
  <c r="U221" i="23" s="1"/>
  <c r="AJ219" i="23"/>
  <c r="AH218" i="23"/>
  <c r="AH220" i="23"/>
  <c r="AH221" i="23"/>
  <c r="AE217" i="23"/>
  <c r="AD217" i="23"/>
  <c r="Y217" i="23" s="1"/>
  <c r="Z217" i="23" s="1"/>
  <c r="S217" i="23"/>
  <c r="P217" i="23"/>
  <c r="AH217" i="23" s="1"/>
  <c r="O217" i="23"/>
  <c r="N217" i="23"/>
  <c r="M217" i="23"/>
  <c r="P6" i="23"/>
  <c r="R6" i="23"/>
  <c r="Q6" i="23"/>
  <c r="F54" i="3"/>
  <c r="F76" i="3"/>
  <c r="F75" i="3"/>
  <c r="F74" i="3"/>
  <c r="F73" i="3"/>
  <c r="F56" i="3"/>
  <c r="AE216" i="23"/>
  <c r="AD216" i="23"/>
  <c r="Y216" i="23" s="1"/>
  <c r="Z216" i="23" s="1"/>
  <c r="S216" i="23"/>
  <c r="P216" i="23"/>
  <c r="AJ216" i="23" s="1"/>
  <c r="O216" i="23"/>
  <c r="N216" i="23"/>
  <c r="M216" i="23"/>
  <c r="AE215" i="23"/>
  <c r="AD215" i="23"/>
  <c r="Y215" i="23" s="1"/>
  <c r="Z215" i="23" s="1"/>
  <c r="S215" i="23"/>
  <c r="P215" i="23"/>
  <c r="AJ215" i="23" s="1"/>
  <c r="O215" i="23"/>
  <c r="N215" i="23"/>
  <c r="M215" i="23"/>
  <c r="AE214" i="23"/>
  <c r="AD214" i="23"/>
  <c r="Y214" i="23" s="1"/>
  <c r="Z214" i="23" s="1"/>
  <c r="S214" i="23"/>
  <c r="P214" i="23"/>
  <c r="AJ214" i="23" s="1"/>
  <c r="O214" i="23"/>
  <c r="N214" i="23"/>
  <c r="M214" i="23"/>
  <c r="AE213" i="23"/>
  <c r="AD213" i="23"/>
  <c r="Y213" i="23" s="1"/>
  <c r="Z213" i="23" s="1"/>
  <c r="S213" i="23"/>
  <c r="P213" i="23"/>
  <c r="AH213" i="23" s="1"/>
  <c r="O213" i="23"/>
  <c r="N213" i="23"/>
  <c r="M213" i="23"/>
  <c r="C45" i="3"/>
  <c r="C54" i="3"/>
  <c r="C40" i="3"/>
  <c r="G73" i="3"/>
  <c r="G65" i="3"/>
  <c r="C69" i="3"/>
  <c r="C38" i="3"/>
  <c r="C46" i="3"/>
  <c r="C25" i="3"/>
  <c r="G70" i="3"/>
  <c r="C71" i="3"/>
  <c r="C33" i="3"/>
  <c r="G75" i="3"/>
  <c r="G56" i="3"/>
  <c r="C24" i="3"/>
  <c r="G72" i="3"/>
  <c r="C58" i="3"/>
  <c r="C39" i="3"/>
  <c r="C31" i="3"/>
  <c r="C21" i="3"/>
  <c r="C23" i="3"/>
  <c r="C30" i="3"/>
  <c r="C57" i="3"/>
  <c r="C50" i="3"/>
  <c r="C59" i="3"/>
  <c r="C65" i="3"/>
  <c r="C18" i="3"/>
  <c r="C28" i="3"/>
  <c r="C61" i="3"/>
  <c r="C22" i="3"/>
  <c r="C67" i="3"/>
  <c r="C76" i="3"/>
  <c r="C37" i="3"/>
  <c r="C51" i="3"/>
  <c r="G76" i="3"/>
  <c r="C62" i="3"/>
  <c r="C56" i="3"/>
  <c r="C20" i="3"/>
  <c r="C29" i="3"/>
  <c r="C72" i="3"/>
  <c r="G64" i="3"/>
  <c r="C35" i="3"/>
  <c r="C32" i="3"/>
  <c r="G17" i="3"/>
  <c r="C41" i="3"/>
  <c r="C66" i="3"/>
  <c r="C68" i="3"/>
  <c r="C44" i="3"/>
  <c r="C74" i="3"/>
  <c r="C27" i="3"/>
  <c r="C64" i="3"/>
  <c r="C47" i="3"/>
  <c r="C75" i="3"/>
  <c r="C55" i="3"/>
  <c r="C48" i="3"/>
  <c r="C42" i="3"/>
  <c r="C52" i="3"/>
  <c r="G74" i="3"/>
  <c r="C53" i="3"/>
  <c r="C34" i="3"/>
  <c r="C19" i="3"/>
  <c r="C49" i="3"/>
  <c r="C43" i="3"/>
  <c r="C26" i="3"/>
  <c r="G54" i="3"/>
  <c r="C70" i="3"/>
  <c r="C63" i="3"/>
  <c r="C73" i="3"/>
  <c r="C36" i="3"/>
  <c r="C16" i="3"/>
  <c r="AA214" i="23" l="1"/>
  <c r="AB214" i="23"/>
  <c r="X214" i="23"/>
  <c r="AC214" i="23"/>
  <c r="AC215" i="23"/>
  <c r="X215" i="23"/>
  <c r="AB215" i="23"/>
  <c r="AA215" i="23"/>
  <c r="AC216" i="23"/>
  <c r="X216" i="23"/>
  <c r="AB216" i="23"/>
  <c r="AA216" i="23"/>
  <c r="AB217" i="23"/>
  <c r="AA217" i="23"/>
  <c r="AC217" i="23"/>
  <c r="X217" i="23"/>
  <c r="AB213" i="23"/>
  <c r="AA213" i="23"/>
  <c r="X213" i="23"/>
  <c r="AC213" i="23"/>
  <c r="T406" i="23"/>
  <c r="T405" i="23"/>
  <c r="T403" i="23"/>
  <c r="R403" i="23" s="1"/>
  <c r="T404" i="23"/>
  <c r="R404" i="23" s="1"/>
  <c r="T377" i="23"/>
  <c r="T353" i="23"/>
  <c r="T351" i="23"/>
  <c r="T346" i="23"/>
  <c r="T327" i="23"/>
  <c r="R327" i="23" s="1"/>
  <c r="T326" i="23"/>
  <c r="R326" i="23" s="1"/>
  <c r="T317" i="23"/>
  <c r="R317" i="23" s="1"/>
  <c r="T318" i="23"/>
  <c r="R318" i="23" s="1"/>
  <c r="T306" i="23"/>
  <c r="R306" i="23" s="1"/>
  <c r="T297" i="23"/>
  <c r="R297" i="23" s="1"/>
  <c r="T285" i="23"/>
  <c r="R285" i="23" s="1"/>
  <c r="T288" i="23"/>
  <c r="R288" i="23" s="1"/>
  <c r="T284" i="23"/>
  <c r="R284" i="23" s="1"/>
  <c r="T268" i="23"/>
  <c r="R268" i="23" s="1"/>
  <c r="T253" i="23"/>
  <c r="R253" i="23" s="1"/>
  <c r="T249" i="23"/>
  <c r="R249" i="23" s="1"/>
  <c r="T246" i="23"/>
  <c r="R246" i="23" s="1"/>
  <c r="T247" i="23"/>
  <c r="R247" i="23" s="1"/>
  <c r="T245" i="23"/>
  <c r="R245" i="23" s="1"/>
  <c r="T376" i="23"/>
  <c r="T368" i="23"/>
  <c r="T325" i="23"/>
  <c r="T332" i="23"/>
  <c r="R332" i="23" s="1"/>
  <c r="T320" i="23"/>
  <c r="R320" i="23" s="1"/>
  <c r="T273" i="23"/>
  <c r="R273" i="23" s="1"/>
  <c r="T298" i="23"/>
  <c r="T274" i="23"/>
  <c r="R274" i="23" s="1"/>
  <c r="T254" i="23"/>
  <c r="R254" i="23" s="1"/>
  <c r="T252" i="23"/>
  <c r="R252" i="23" s="1"/>
  <c r="T352" i="23"/>
  <c r="R352" i="23" s="1"/>
  <c r="T342" i="23"/>
  <c r="R342" i="23" s="1"/>
  <c r="T338" i="23"/>
  <c r="R338" i="23" s="1"/>
  <c r="T337" i="23"/>
  <c r="R337" i="23" s="1"/>
  <c r="T299" i="23"/>
  <c r="R299" i="23" s="1"/>
  <c r="T300" i="23"/>
  <c r="R300" i="23" s="1"/>
  <c r="T279" i="23"/>
  <c r="R279" i="23" s="1"/>
  <c r="T292" i="23"/>
  <c r="R292" i="23" s="1"/>
  <c r="T282" i="23"/>
  <c r="R282" i="23" s="1"/>
  <c r="T278" i="23"/>
  <c r="R278" i="23" s="1"/>
  <c r="T257" i="23"/>
  <c r="R257" i="23" s="1"/>
  <c r="T366" i="23"/>
  <c r="T364" i="23"/>
  <c r="R364" i="23" s="1"/>
  <c r="T365" i="23"/>
  <c r="R365" i="23" s="1"/>
  <c r="T359" i="23"/>
  <c r="T329" i="23"/>
  <c r="R329" i="23" s="1"/>
  <c r="T330" i="23"/>
  <c r="R330" i="23" s="1"/>
  <c r="T324" i="23"/>
  <c r="R324" i="23" s="1"/>
  <c r="T311" i="23"/>
  <c r="R311" i="23" s="1"/>
  <c r="T309" i="23"/>
  <c r="R309" i="23" s="1"/>
  <c r="T305" i="23"/>
  <c r="R305" i="23" s="1"/>
  <c r="T310" i="23"/>
  <c r="R310" i="23" s="1"/>
  <c r="T291" i="23"/>
  <c r="R291" i="23" s="1"/>
  <c r="T260" i="23"/>
  <c r="R260" i="23" s="1"/>
  <c r="T261" i="23"/>
  <c r="R261" i="23" s="1"/>
  <c r="T259" i="23"/>
  <c r="R259" i="23" s="1"/>
  <c r="T256" i="23"/>
  <c r="R256" i="23" s="1"/>
  <c r="T258" i="23"/>
  <c r="R258" i="23" s="1"/>
  <c r="T319" i="23"/>
  <c r="R319" i="23" s="1"/>
  <c r="T287" i="23"/>
  <c r="R287" i="23" s="1"/>
  <c r="T271" i="23"/>
  <c r="R271" i="23" s="1"/>
  <c r="T272" i="23"/>
  <c r="R272" i="23" s="1"/>
  <c r="T248" i="23"/>
  <c r="R248" i="23" s="1"/>
  <c r="T362" i="23"/>
  <c r="T360" i="23"/>
  <c r="T361" i="23"/>
  <c r="T347" i="23"/>
  <c r="T334" i="23"/>
  <c r="R334" i="23" s="1"/>
  <c r="T328" i="23"/>
  <c r="R328" i="23" s="1"/>
  <c r="T308" i="23"/>
  <c r="R308" i="23" s="1"/>
  <c r="T281" i="23"/>
  <c r="R281" i="23" s="1"/>
  <c r="T277" i="23"/>
  <c r="R277" i="23" s="1"/>
  <c r="T296" i="23"/>
  <c r="R296" i="23" s="1"/>
  <c r="T286" i="23"/>
  <c r="R286" i="23" s="1"/>
  <c r="T280" i="23"/>
  <c r="R280" i="23" s="1"/>
  <c r="T356" i="23"/>
  <c r="T355" i="23"/>
  <c r="T345" i="23"/>
  <c r="T333" i="23"/>
  <c r="R333" i="23" s="1"/>
  <c r="T323" i="23"/>
  <c r="R323" i="23" s="1"/>
  <c r="T307" i="23"/>
  <c r="R307" i="23" s="1"/>
  <c r="T301" i="23"/>
  <c r="R301" i="23" s="1"/>
  <c r="T275" i="23"/>
  <c r="R275" i="23" s="1"/>
  <c r="T276" i="23"/>
  <c r="R276" i="23" s="1"/>
  <c r="T243" i="23"/>
  <c r="R243" i="23" s="1"/>
  <c r="T237" i="23"/>
  <c r="R237" i="23" s="1"/>
  <c r="T223" i="23"/>
  <c r="R223" i="23" s="1"/>
  <c r="T236" i="23"/>
  <c r="R236" i="23" s="1"/>
  <c r="T213" i="23"/>
  <c r="R213" i="23" s="1"/>
  <c r="T244" i="23"/>
  <c r="R244" i="23" s="1"/>
  <c r="T235" i="23"/>
  <c r="R235" i="23" s="1"/>
  <c r="T225" i="23"/>
  <c r="R225" i="23" s="1"/>
  <c r="T222" i="23"/>
  <c r="R222" i="23" s="1"/>
  <c r="T217" i="23"/>
  <c r="R217" i="23" s="1"/>
  <c r="T214" i="23"/>
  <c r="R214" i="23" s="1"/>
  <c r="T215" i="23"/>
  <c r="R215" i="23" s="1"/>
  <c r="T224" i="23"/>
  <c r="R224" i="23" s="1"/>
  <c r="T233" i="23"/>
  <c r="R233" i="23" s="1"/>
  <c r="T230" i="23"/>
  <c r="R230" i="23" s="1"/>
  <c r="T234" i="23"/>
  <c r="R234" i="23" s="1"/>
  <c r="T239" i="23"/>
  <c r="R239" i="23" s="1"/>
  <c r="T231" i="23"/>
  <c r="R231" i="23" s="1"/>
  <c r="T229" i="23"/>
  <c r="R229" i="23" s="1"/>
  <c r="T238" i="23"/>
  <c r="R238" i="23" s="1"/>
  <c r="T228" i="23"/>
  <c r="R228" i="23" s="1"/>
  <c r="T227" i="23"/>
  <c r="R227" i="23" s="1"/>
  <c r="T232" i="23"/>
  <c r="R232" i="23" s="1"/>
  <c r="AJ217" i="23"/>
  <c r="AH216" i="23"/>
  <c r="AJ213" i="23"/>
  <c r="AH214" i="23"/>
  <c r="AH215" i="23"/>
  <c r="AE212" i="23"/>
  <c r="AD212" i="23"/>
  <c r="Y212" i="23" s="1"/>
  <c r="Z212" i="23" s="1"/>
  <c r="S212" i="23"/>
  <c r="P212" i="23"/>
  <c r="AJ212" i="23" s="1"/>
  <c r="O212" i="23"/>
  <c r="N212" i="23"/>
  <c r="M212" i="23"/>
  <c r="AE211" i="23"/>
  <c r="AD211" i="23"/>
  <c r="Y211" i="23" s="1"/>
  <c r="Z211" i="23" s="1"/>
  <c r="T211" i="23"/>
  <c r="S211" i="23"/>
  <c r="P211" i="23"/>
  <c r="AH211" i="23" s="1"/>
  <c r="O211" i="23"/>
  <c r="N211" i="23"/>
  <c r="M211" i="23"/>
  <c r="AE210" i="23"/>
  <c r="AD210" i="23"/>
  <c r="Y210" i="23" s="1"/>
  <c r="Z210" i="23" s="1"/>
  <c r="T210" i="23"/>
  <c r="S210" i="23"/>
  <c r="P210" i="23"/>
  <c r="AJ210" i="23" s="1"/>
  <c r="O210" i="23"/>
  <c r="N210" i="23"/>
  <c r="M210" i="23"/>
  <c r="AC366" i="23"/>
  <c r="AC360" i="23"/>
  <c r="AC355" i="23"/>
  <c r="AC351" i="23"/>
  <c r="AC359" i="23"/>
  <c r="AC405" i="23"/>
  <c r="AC368" i="23"/>
  <c r="AC346" i="23"/>
  <c r="AC376" i="23"/>
  <c r="AC353" i="23"/>
  <c r="AC356" i="23"/>
  <c r="AC345" i="23"/>
  <c r="AC406" i="23"/>
  <c r="AC361" i="23"/>
  <c r="AC362" i="23"/>
  <c r="AC377" i="23"/>
  <c r="AC298" i="23"/>
  <c r="AC347" i="23"/>
  <c r="AC325" i="23"/>
  <c r="R210" i="23" l="1"/>
  <c r="R211" i="23"/>
  <c r="AA210" i="23"/>
  <c r="AC210" i="23"/>
  <c r="U210" i="23" s="1"/>
  <c r="AB210" i="23"/>
  <c r="X210" i="23"/>
  <c r="AC211" i="23"/>
  <c r="X211" i="23"/>
  <c r="AA211" i="23"/>
  <c r="AB211" i="23"/>
  <c r="AC212" i="23"/>
  <c r="U212" i="23" s="1"/>
  <c r="X212" i="23"/>
  <c r="AB212" i="23"/>
  <c r="AA212" i="23"/>
  <c r="U405" i="23"/>
  <c r="U406" i="23"/>
  <c r="U284" i="23"/>
  <c r="U328" i="23"/>
  <c r="U271" i="23"/>
  <c r="U256" i="23"/>
  <c r="U291" i="23"/>
  <c r="U311" i="23"/>
  <c r="U257" i="23"/>
  <c r="U338" i="23"/>
  <c r="U288" i="23"/>
  <c r="U308" i="23"/>
  <c r="U276" i="23"/>
  <c r="U277" i="23"/>
  <c r="U310" i="23"/>
  <c r="U278" i="23"/>
  <c r="U300" i="23"/>
  <c r="U245" i="23"/>
  <c r="U285" i="23"/>
  <c r="U317" i="23"/>
  <c r="U246" i="23"/>
  <c r="U306" i="23"/>
  <c r="U307" i="23"/>
  <c r="U248" i="23"/>
  <c r="U319" i="23"/>
  <c r="U305" i="23"/>
  <c r="U330" i="23"/>
  <c r="U282" i="23"/>
  <c r="AH212" i="23"/>
  <c r="AJ211" i="23"/>
  <c r="AH210" i="23"/>
  <c r="AE209" i="23"/>
  <c r="AD209" i="23"/>
  <c r="Y209" i="23" s="1"/>
  <c r="Z209" i="23" s="1"/>
  <c r="T209" i="23"/>
  <c r="S209" i="23"/>
  <c r="P209" i="23"/>
  <c r="AH209" i="23" s="1"/>
  <c r="O209" i="23"/>
  <c r="N209" i="23"/>
  <c r="M209" i="23"/>
  <c r="AE208" i="23"/>
  <c r="AD208" i="23"/>
  <c r="Y208" i="23" s="1"/>
  <c r="Z208" i="23" s="1"/>
  <c r="T208" i="23"/>
  <c r="S208" i="23"/>
  <c r="P208" i="23"/>
  <c r="AJ208" i="23" s="1"/>
  <c r="O208" i="23"/>
  <c r="N208" i="23"/>
  <c r="M208" i="23"/>
  <c r="X406" i="23"/>
  <c r="X405" i="23"/>
  <c r="Y406" i="23"/>
  <c r="Y405" i="23"/>
  <c r="AB405" i="23"/>
  <c r="AB406" i="23"/>
  <c r="AA406" i="23"/>
  <c r="AA405" i="23"/>
  <c r="R208" i="23" l="1"/>
  <c r="R209" i="23"/>
  <c r="Z406" i="23"/>
  <c r="R406" i="23" s="1"/>
  <c r="Z405" i="23"/>
  <c r="R405" i="23" s="1"/>
  <c r="AC208" i="23"/>
  <c r="X208" i="23"/>
  <c r="AB208" i="23"/>
  <c r="AA208" i="23"/>
  <c r="AC209" i="23"/>
  <c r="X209" i="23"/>
  <c r="AB209" i="23"/>
  <c r="AA209" i="23"/>
  <c r="AJ209" i="23"/>
  <c r="AH208" i="23"/>
  <c r="AE207" i="23"/>
  <c r="AD207" i="23"/>
  <c r="Y207" i="23" s="1"/>
  <c r="Z207" i="23" s="1"/>
  <c r="S207" i="23"/>
  <c r="P207" i="23"/>
  <c r="AJ207" i="23" s="1"/>
  <c r="O207" i="23"/>
  <c r="N207" i="23"/>
  <c r="M207" i="23"/>
  <c r="AE206" i="23"/>
  <c r="AD206" i="23"/>
  <c r="Y206" i="23" s="1"/>
  <c r="Z206" i="23" s="1"/>
  <c r="T206" i="23"/>
  <c r="S206" i="23"/>
  <c r="P206" i="23"/>
  <c r="AJ206" i="23" s="1"/>
  <c r="O206" i="23"/>
  <c r="N206" i="23"/>
  <c r="M206" i="23"/>
  <c r="AE205" i="23"/>
  <c r="AD205" i="23"/>
  <c r="Y205" i="23" s="1"/>
  <c r="Z205" i="23" s="1"/>
  <c r="T205" i="23"/>
  <c r="S205" i="23"/>
  <c r="P205" i="23"/>
  <c r="AJ205" i="23" s="1"/>
  <c r="O205" i="23"/>
  <c r="N205" i="23"/>
  <c r="M205" i="23"/>
  <c r="R205" i="23" l="1"/>
  <c r="R206" i="23"/>
  <c r="AC205" i="23"/>
  <c r="X205" i="23"/>
  <c r="AB205" i="23"/>
  <c r="AA205" i="23"/>
  <c r="AA207" i="23"/>
  <c r="AC207" i="23"/>
  <c r="U207" i="23" s="1"/>
  <c r="X207" i="23"/>
  <c r="AB207" i="23"/>
  <c r="AB206" i="23"/>
  <c r="AA206" i="23"/>
  <c r="AC206" i="23"/>
  <c r="X206" i="23"/>
  <c r="U205" i="23"/>
  <c r="AH207" i="23"/>
  <c r="AH206" i="23"/>
  <c r="AH205" i="23"/>
  <c r="AE204" i="23"/>
  <c r="AD204" i="23"/>
  <c r="Y204" i="23" s="1"/>
  <c r="Z204" i="23" s="1"/>
  <c r="S204" i="23"/>
  <c r="P204" i="23"/>
  <c r="AH204" i="23" s="1"/>
  <c r="O204" i="23"/>
  <c r="N204" i="23"/>
  <c r="M204" i="23"/>
  <c r="AC204" i="23" l="1"/>
  <c r="X204" i="23"/>
  <c r="AB204" i="23"/>
  <c r="AA204" i="23"/>
  <c r="U204" i="23"/>
  <c r="AJ204" i="23"/>
  <c r="AE203" i="23"/>
  <c r="AD203" i="23"/>
  <c r="Y203" i="23" s="1"/>
  <c r="Z203" i="23" s="1"/>
  <c r="S203" i="23"/>
  <c r="P203" i="23"/>
  <c r="AJ203" i="23" s="1"/>
  <c r="O203" i="23"/>
  <c r="N203" i="23"/>
  <c r="M203" i="23"/>
  <c r="R21" i="25"/>
  <c r="O21" i="25"/>
  <c r="R20" i="25"/>
  <c r="O20" i="25"/>
  <c r="R19" i="25"/>
  <c r="O19" i="25"/>
  <c r="R18" i="25"/>
  <c r="O18" i="25"/>
  <c r="R17" i="25"/>
  <c r="O17" i="25"/>
  <c r="R16" i="25"/>
  <c r="O16" i="25"/>
  <c r="R15" i="25"/>
  <c r="O15" i="25"/>
  <c r="R14" i="25"/>
  <c r="O14" i="25"/>
  <c r="R13" i="25"/>
  <c r="O13" i="25"/>
  <c r="R12" i="25"/>
  <c r="O12" i="25"/>
  <c r="R11" i="25"/>
  <c r="O11" i="25"/>
  <c r="R9" i="25"/>
  <c r="O9" i="25"/>
  <c r="R8" i="25"/>
  <c r="O8" i="25"/>
  <c r="R7" i="25"/>
  <c r="O7" i="25"/>
  <c r="R6" i="25"/>
  <c r="O6" i="25"/>
  <c r="O5" i="25"/>
  <c r="R4" i="25"/>
  <c r="O4" i="25"/>
  <c r="R3" i="25"/>
  <c r="O3" i="25"/>
  <c r="R10" i="25"/>
  <c r="O10" i="25"/>
  <c r="H10" i="25"/>
  <c r="N21" i="25"/>
  <c r="P21" i="25" s="1"/>
  <c r="N20" i="25"/>
  <c r="P20" i="25" s="1"/>
  <c r="N19" i="25"/>
  <c r="P19" i="25" s="1"/>
  <c r="N18" i="25"/>
  <c r="P18" i="25" s="1"/>
  <c r="N17" i="25"/>
  <c r="P17" i="25" s="1"/>
  <c r="N16" i="25"/>
  <c r="P16" i="25" s="1"/>
  <c r="N15" i="25"/>
  <c r="P15" i="25" s="1"/>
  <c r="N14" i="25"/>
  <c r="P14" i="25" s="1"/>
  <c r="N13" i="25"/>
  <c r="P13" i="25" s="1"/>
  <c r="N12" i="25"/>
  <c r="P12" i="25" s="1"/>
  <c r="N11" i="25"/>
  <c r="P11" i="25" s="1"/>
  <c r="N10" i="25"/>
  <c r="P10" i="25" s="1"/>
  <c r="N9" i="25"/>
  <c r="P9" i="25" s="1"/>
  <c r="N8" i="25"/>
  <c r="P8" i="25" s="1"/>
  <c r="N7" i="25"/>
  <c r="P7" i="25" s="1"/>
  <c r="N6" i="25"/>
  <c r="P6" i="25" s="1"/>
  <c r="P5" i="25"/>
  <c r="N4" i="25"/>
  <c r="P4" i="25" s="1"/>
  <c r="H21" i="25"/>
  <c r="H20" i="25"/>
  <c r="H19" i="25"/>
  <c r="H18" i="25"/>
  <c r="H17" i="25"/>
  <c r="H16" i="25"/>
  <c r="H15" i="25"/>
  <c r="H14" i="25"/>
  <c r="H13" i="25"/>
  <c r="H12" i="25"/>
  <c r="H11" i="25"/>
  <c r="H9" i="25"/>
  <c r="H8" i="25"/>
  <c r="H7" i="25"/>
  <c r="H6" i="25"/>
  <c r="H4" i="25"/>
  <c r="H3" i="25"/>
  <c r="AA203" i="23" l="1"/>
  <c r="AC203" i="23"/>
  <c r="X203" i="23"/>
  <c r="AB203" i="23"/>
  <c r="AH203" i="23"/>
  <c r="G4" i="1"/>
  <c r="G3" i="1"/>
  <c r="M8" i="23"/>
  <c r="M10" i="23"/>
  <c r="M11" i="23"/>
  <c r="M12" i="23"/>
  <c r="M13" i="23"/>
  <c r="M14" i="23"/>
  <c r="M15" i="23"/>
  <c r="M16" i="23"/>
  <c r="M17" i="23"/>
  <c r="M18" i="23"/>
  <c r="M19" i="23"/>
  <c r="M20" i="23"/>
  <c r="M21" i="23"/>
  <c r="M22" i="23"/>
  <c r="M23" i="23"/>
  <c r="M24" i="23"/>
  <c r="M25" i="23"/>
  <c r="M26" i="23"/>
  <c r="M27" i="23"/>
  <c r="M28" i="23"/>
  <c r="M29" i="23"/>
  <c r="M30" i="23"/>
  <c r="M31" i="23"/>
  <c r="M32" i="23"/>
  <c r="M33" i="23"/>
  <c r="M34" i="23"/>
  <c r="M35" i="23"/>
  <c r="M36" i="23"/>
  <c r="M37" i="23"/>
  <c r="M38" i="23"/>
  <c r="M39" i="23"/>
  <c r="M40" i="23"/>
  <c r="M41" i="23"/>
  <c r="M42" i="23"/>
  <c r="M43" i="23"/>
  <c r="M44" i="23"/>
  <c r="M45" i="23"/>
  <c r="M46" i="23"/>
  <c r="M47" i="23"/>
  <c r="M48" i="23"/>
  <c r="M49" i="23"/>
  <c r="M50" i="23"/>
  <c r="M51" i="23"/>
  <c r="M52" i="23"/>
  <c r="M53" i="23"/>
  <c r="M54" i="23"/>
  <c r="M55" i="23"/>
  <c r="M56" i="23"/>
  <c r="M57" i="23"/>
  <c r="M58" i="23"/>
  <c r="M59" i="23"/>
  <c r="M60" i="23"/>
  <c r="M61" i="23"/>
  <c r="M62" i="23"/>
  <c r="M63" i="23"/>
  <c r="M64" i="23"/>
  <c r="M65" i="23"/>
  <c r="M66" i="23"/>
  <c r="M67" i="23"/>
  <c r="M68" i="23"/>
  <c r="M69" i="23"/>
  <c r="M70" i="23"/>
  <c r="M71" i="23"/>
  <c r="M72" i="23"/>
  <c r="M73" i="23"/>
  <c r="M74" i="23"/>
  <c r="M75" i="23"/>
  <c r="M76" i="23"/>
  <c r="M77" i="23"/>
  <c r="M78" i="23"/>
  <c r="M79" i="23"/>
  <c r="M80" i="23"/>
  <c r="M81" i="23"/>
  <c r="M82" i="23"/>
  <c r="M83" i="23"/>
  <c r="M84" i="23"/>
  <c r="M85" i="23"/>
  <c r="M86" i="23"/>
  <c r="M87" i="23"/>
  <c r="M88" i="23"/>
  <c r="M89" i="23"/>
  <c r="M90" i="23"/>
  <c r="M91" i="23"/>
  <c r="M92" i="23"/>
  <c r="M93" i="23"/>
  <c r="M94" i="23"/>
  <c r="M95" i="23"/>
  <c r="M96" i="23"/>
  <c r="M97" i="23"/>
  <c r="M98" i="23"/>
  <c r="M99" i="23"/>
  <c r="M100" i="23"/>
  <c r="M101" i="23"/>
  <c r="M102" i="23"/>
  <c r="M103" i="23"/>
  <c r="M104" i="23"/>
  <c r="M105" i="23"/>
  <c r="M106" i="23"/>
  <c r="M107" i="23"/>
  <c r="M108" i="23"/>
  <c r="M109" i="23"/>
  <c r="M110" i="23"/>
  <c r="M111" i="23"/>
  <c r="M112" i="23"/>
  <c r="M113" i="23"/>
  <c r="M114" i="23"/>
  <c r="M115" i="23"/>
  <c r="M116" i="23"/>
  <c r="M117" i="23"/>
  <c r="M118" i="23"/>
  <c r="M119" i="23"/>
  <c r="M120" i="23"/>
  <c r="M121" i="23"/>
  <c r="M122" i="23"/>
  <c r="M123" i="23"/>
  <c r="M124" i="23"/>
  <c r="M125" i="23"/>
  <c r="M126" i="23"/>
  <c r="M127" i="23"/>
  <c r="M128" i="23"/>
  <c r="M129" i="23"/>
  <c r="M130" i="23"/>
  <c r="M131" i="23"/>
  <c r="M132" i="23"/>
  <c r="M133" i="23"/>
  <c r="M134" i="23"/>
  <c r="M135" i="23"/>
  <c r="M136" i="23"/>
  <c r="M137" i="23"/>
  <c r="M138" i="23"/>
  <c r="M139" i="23"/>
  <c r="M140" i="23"/>
  <c r="M141" i="23"/>
  <c r="M142" i="23"/>
  <c r="M143" i="23"/>
  <c r="M144" i="23"/>
  <c r="M145" i="23"/>
  <c r="M146" i="23"/>
  <c r="M147" i="23"/>
  <c r="M148" i="23"/>
  <c r="M149" i="23"/>
  <c r="M150" i="23"/>
  <c r="M151" i="23"/>
  <c r="M152" i="23"/>
  <c r="M153" i="23"/>
  <c r="M154" i="23"/>
  <c r="M155" i="23"/>
  <c r="M156" i="23"/>
  <c r="M157" i="23"/>
  <c r="M158" i="23"/>
  <c r="M159" i="23"/>
  <c r="M160" i="23"/>
  <c r="M161" i="23"/>
  <c r="M162" i="23"/>
  <c r="M163" i="23"/>
  <c r="M164" i="23"/>
  <c r="M165" i="23"/>
  <c r="M166" i="23"/>
  <c r="M167" i="23"/>
  <c r="M168" i="23"/>
  <c r="M169" i="23"/>
  <c r="M170" i="23"/>
  <c r="M171" i="23"/>
  <c r="M172" i="23"/>
  <c r="M173" i="23"/>
  <c r="M174" i="23"/>
  <c r="M175" i="23"/>
  <c r="M176" i="23"/>
  <c r="M177" i="23"/>
  <c r="M178" i="23"/>
  <c r="M179" i="23"/>
  <c r="M180" i="23"/>
  <c r="M181" i="23"/>
  <c r="M182" i="23"/>
  <c r="M183" i="23"/>
  <c r="M184" i="23"/>
  <c r="M185" i="23"/>
  <c r="M186" i="23"/>
  <c r="M187" i="23"/>
  <c r="M188" i="23"/>
  <c r="M189" i="23"/>
  <c r="M190" i="23"/>
  <c r="M191" i="23"/>
  <c r="M192" i="23"/>
  <c r="M193" i="23"/>
  <c r="M194" i="23"/>
  <c r="M195" i="23"/>
  <c r="M196" i="23"/>
  <c r="M197" i="23"/>
  <c r="M198" i="23"/>
  <c r="M199" i="23"/>
  <c r="M200" i="23"/>
  <c r="M201" i="23"/>
  <c r="M202" i="23"/>
  <c r="AE202" i="23"/>
  <c r="AD202" i="23"/>
  <c r="Y202" i="23" s="1"/>
  <c r="Z202" i="23" s="1"/>
  <c r="T202" i="23"/>
  <c r="S202" i="23"/>
  <c r="P202" i="23"/>
  <c r="AJ202" i="23" s="1"/>
  <c r="O202" i="23"/>
  <c r="N202" i="23"/>
  <c r="AE201" i="23"/>
  <c r="AD201" i="23"/>
  <c r="Y201" i="23" s="1"/>
  <c r="Z201" i="23" s="1"/>
  <c r="S201" i="23"/>
  <c r="P201" i="23"/>
  <c r="AJ201" i="23" s="1"/>
  <c r="O201" i="23"/>
  <c r="N201" i="23"/>
  <c r="AE200" i="23"/>
  <c r="AD200" i="23"/>
  <c r="Y200" i="23" s="1"/>
  <c r="Z200" i="23" s="1"/>
  <c r="S200" i="23"/>
  <c r="P200" i="23"/>
  <c r="AJ200" i="23" s="1"/>
  <c r="O200" i="23"/>
  <c r="N200" i="23"/>
  <c r="AE199" i="23"/>
  <c r="AD199" i="23"/>
  <c r="Y199" i="23" s="1"/>
  <c r="Z199" i="23" s="1"/>
  <c r="S199" i="23"/>
  <c r="P199" i="23"/>
  <c r="AJ199" i="23" s="1"/>
  <c r="O199" i="23"/>
  <c r="N199" i="23"/>
  <c r="AE198" i="23"/>
  <c r="AD198" i="23"/>
  <c r="Y198" i="23" s="1"/>
  <c r="Z198" i="23" s="1"/>
  <c r="T198" i="23"/>
  <c r="S198" i="23"/>
  <c r="P198" i="23"/>
  <c r="AJ198" i="23" s="1"/>
  <c r="O198" i="23"/>
  <c r="N198" i="23"/>
  <c r="AE197" i="23"/>
  <c r="AD197" i="23"/>
  <c r="Y197" i="23" s="1"/>
  <c r="Z197" i="23" s="1"/>
  <c r="T197" i="23"/>
  <c r="S197" i="23"/>
  <c r="P197" i="23"/>
  <c r="AJ197" i="23" s="1"/>
  <c r="O197" i="23"/>
  <c r="N197" i="23"/>
  <c r="AE196" i="23"/>
  <c r="AD196" i="23"/>
  <c r="Y196" i="23" s="1"/>
  <c r="Z196" i="23" s="1"/>
  <c r="T196" i="23"/>
  <c r="S196" i="23"/>
  <c r="P196" i="23"/>
  <c r="AJ196" i="23" s="1"/>
  <c r="O196" i="23"/>
  <c r="N196" i="23"/>
  <c r="AE195" i="23"/>
  <c r="AD195" i="23"/>
  <c r="Y195" i="23" s="1"/>
  <c r="Z195" i="23" s="1"/>
  <c r="S195" i="23"/>
  <c r="P195" i="23"/>
  <c r="AJ195" i="23" s="1"/>
  <c r="O195" i="23"/>
  <c r="N195" i="23"/>
  <c r="AE194" i="23"/>
  <c r="AD194" i="23"/>
  <c r="Y194" i="23" s="1"/>
  <c r="Z194" i="23" s="1"/>
  <c r="S194" i="23"/>
  <c r="P194" i="23"/>
  <c r="AJ194" i="23" s="1"/>
  <c r="O194" i="23"/>
  <c r="N194" i="23"/>
  <c r="AE193" i="23"/>
  <c r="AD193" i="23"/>
  <c r="Y193" i="23" s="1"/>
  <c r="Z193" i="23" s="1"/>
  <c r="S193" i="23"/>
  <c r="P193" i="23"/>
  <c r="AJ193" i="23" s="1"/>
  <c r="O193" i="23"/>
  <c r="N193" i="23"/>
  <c r="AE192" i="23"/>
  <c r="AD192" i="23"/>
  <c r="Y192" i="23" s="1"/>
  <c r="Z192" i="23" s="1"/>
  <c r="S192" i="23"/>
  <c r="P192" i="23"/>
  <c r="O192" i="23"/>
  <c r="N192" i="23"/>
  <c r="AE191" i="23"/>
  <c r="AD191" i="23"/>
  <c r="Y191" i="23" s="1"/>
  <c r="Z191" i="23" s="1"/>
  <c r="S191" i="23"/>
  <c r="P191" i="23"/>
  <c r="AH191" i="23" s="1"/>
  <c r="O191" i="23"/>
  <c r="N191" i="23"/>
  <c r="AE190" i="23"/>
  <c r="AD190" i="23"/>
  <c r="Y190" i="23" s="1"/>
  <c r="Z190" i="23" s="1"/>
  <c r="S190" i="23"/>
  <c r="P190" i="23"/>
  <c r="AJ190" i="23" s="1"/>
  <c r="O190" i="23"/>
  <c r="N190" i="23"/>
  <c r="AE189" i="23"/>
  <c r="AD189" i="23"/>
  <c r="Y189" i="23" s="1"/>
  <c r="Z189" i="23" s="1"/>
  <c r="S189" i="23"/>
  <c r="P189" i="23"/>
  <c r="AJ189" i="23" s="1"/>
  <c r="O189" i="23"/>
  <c r="N189" i="23"/>
  <c r="AE188" i="23"/>
  <c r="AD188" i="23"/>
  <c r="Y188" i="23" s="1"/>
  <c r="Z188" i="23" s="1"/>
  <c r="S188" i="23"/>
  <c r="P188" i="23"/>
  <c r="AJ188" i="23" s="1"/>
  <c r="O188" i="23"/>
  <c r="N188" i="23"/>
  <c r="AE187" i="23"/>
  <c r="AD187" i="23"/>
  <c r="Y187" i="23" s="1"/>
  <c r="Z187" i="23" s="1"/>
  <c r="S187" i="23"/>
  <c r="P187" i="23"/>
  <c r="AJ187" i="23" s="1"/>
  <c r="O187" i="23"/>
  <c r="N187" i="23"/>
  <c r="R198" i="23" l="1"/>
  <c r="R197" i="23"/>
  <c r="R202" i="23"/>
  <c r="R196" i="23"/>
  <c r="AB190" i="23"/>
  <c r="AA190" i="23"/>
  <c r="AC190" i="23"/>
  <c r="X190" i="23"/>
  <c r="AB194" i="23"/>
  <c r="AA194" i="23"/>
  <c r="X194" i="23"/>
  <c r="AC194" i="23"/>
  <c r="U194" i="23" s="1"/>
  <c r="AC189" i="23"/>
  <c r="X189" i="23"/>
  <c r="AB189" i="23"/>
  <c r="AA189" i="23"/>
  <c r="AC193" i="23"/>
  <c r="U193" i="23" s="1"/>
  <c r="X193" i="23"/>
  <c r="AB193" i="23"/>
  <c r="AA193" i="23"/>
  <c r="AC200" i="23"/>
  <c r="X200" i="23"/>
  <c r="AB200" i="23"/>
  <c r="AA200" i="23"/>
  <c r="AA199" i="23"/>
  <c r="AC199" i="23"/>
  <c r="X199" i="23"/>
  <c r="AB199" i="23"/>
  <c r="AC201" i="23"/>
  <c r="X201" i="23"/>
  <c r="AB201" i="23"/>
  <c r="AA201" i="23"/>
  <c r="AB202" i="23"/>
  <c r="AA202" i="23"/>
  <c r="AC202" i="23"/>
  <c r="X202" i="23"/>
  <c r="AC188" i="23"/>
  <c r="X188" i="23"/>
  <c r="AB188" i="23"/>
  <c r="AA188" i="23"/>
  <c r="AC192" i="23"/>
  <c r="X192" i="23"/>
  <c r="AB192" i="23"/>
  <c r="AA192" i="23"/>
  <c r="AA187" i="23"/>
  <c r="AC187" i="23"/>
  <c r="U187" i="23" s="1"/>
  <c r="X187" i="23"/>
  <c r="AB187" i="23"/>
  <c r="AA191" i="23"/>
  <c r="AC191" i="23"/>
  <c r="X191" i="23"/>
  <c r="AB191" i="23"/>
  <c r="AA195" i="23"/>
  <c r="AC195" i="23"/>
  <c r="U195" i="23" s="1"/>
  <c r="X195" i="23"/>
  <c r="AB195" i="23"/>
  <c r="AC196" i="23"/>
  <c r="X196" i="23"/>
  <c r="AB196" i="23"/>
  <c r="AA196" i="23"/>
  <c r="AC197" i="23"/>
  <c r="X197" i="23"/>
  <c r="AB197" i="23"/>
  <c r="AA197" i="23"/>
  <c r="AB198" i="23"/>
  <c r="AA198" i="23"/>
  <c r="AC198" i="23"/>
  <c r="X198" i="23"/>
  <c r="AJ192" i="23"/>
  <c r="AH202" i="23"/>
  <c r="AH197" i="23"/>
  <c r="AH200" i="23"/>
  <c r="AH199" i="23"/>
  <c r="AH201" i="23"/>
  <c r="AH198" i="23"/>
  <c r="AH196" i="23"/>
  <c r="AH194" i="23"/>
  <c r="AH193" i="23"/>
  <c r="AH195" i="23"/>
  <c r="AH192" i="23"/>
  <c r="AJ191" i="23"/>
  <c r="AH190" i="23"/>
  <c r="AH189" i="23"/>
  <c r="AH188" i="23"/>
  <c r="AH187" i="23"/>
  <c r="AE186" i="23"/>
  <c r="AD186" i="23"/>
  <c r="Y186" i="23" s="1"/>
  <c r="Z186" i="23" s="1"/>
  <c r="T186" i="23"/>
  <c r="S186" i="23"/>
  <c r="P186" i="23"/>
  <c r="AJ186" i="23" s="1"/>
  <c r="O186" i="23"/>
  <c r="N186" i="23"/>
  <c r="AE185" i="23"/>
  <c r="AD185" i="23"/>
  <c r="Y185" i="23" s="1"/>
  <c r="Z185" i="23" s="1"/>
  <c r="T185" i="23"/>
  <c r="S185" i="23"/>
  <c r="P185" i="23"/>
  <c r="AJ185" i="23" s="1"/>
  <c r="O185" i="23"/>
  <c r="N185" i="23"/>
  <c r="AE184" i="23"/>
  <c r="AD184" i="23"/>
  <c r="Y184" i="23" s="1"/>
  <c r="Z184" i="23" s="1"/>
  <c r="S184" i="23"/>
  <c r="P184" i="23"/>
  <c r="AJ184" i="23" s="1"/>
  <c r="O184" i="23"/>
  <c r="N184" i="23"/>
  <c r="AE183" i="23"/>
  <c r="AD183" i="23"/>
  <c r="Y183" i="23" s="1"/>
  <c r="Z183" i="23" s="1"/>
  <c r="S183" i="23"/>
  <c r="P183" i="23"/>
  <c r="AH183" i="23" s="1"/>
  <c r="O183" i="23"/>
  <c r="N183" i="23"/>
  <c r="AE182" i="23"/>
  <c r="AD182" i="23"/>
  <c r="Y182" i="23" s="1"/>
  <c r="Z182" i="23" s="1"/>
  <c r="T182" i="23"/>
  <c r="S182" i="23"/>
  <c r="P182" i="23"/>
  <c r="AJ182" i="23" s="1"/>
  <c r="O182" i="23"/>
  <c r="N182" i="23"/>
  <c r="AE181" i="23"/>
  <c r="AD181" i="23"/>
  <c r="Y181" i="23" s="1"/>
  <c r="Z181" i="23" s="1"/>
  <c r="S181" i="23"/>
  <c r="P181" i="23"/>
  <c r="AH181" i="23" s="1"/>
  <c r="O181" i="23"/>
  <c r="N181" i="23"/>
  <c r="R182" i="23" l="1"/>
  <c r="R186" i="23"/>
  <c r="R185" i="23"/>
  <c r="AC184" i="23"/>
  <c r="U184" i="23" s="1"/>
  <c r="X184" i="23"/>
  <c r="AB184" i="23"/>
  <c r="AA184" i="23"/>
  <c r="AC185" i="23"/>
  <c r="X185" i="23"/>
  <c r="AB185" i="23"/>
  <c r="AA185" i="23"/>
  <c r="AB186" i="23"/>
  <c r="AA186" i="23"/>
  <c r="AC186" i="23"/>
  <c r="U186" i="23" s="1"/>
  <c r="X186" i="23"/>
  <c r="AA183" i="23"/>
  <c r="AC183" i="23"/>
  <c r="U183" i="23" s="1"/>
  <c r="X183" i="23"/>
  <c r="AB183" i="23"/>
  <c r="AC181" i="23"/>
  <c r="U181" i="23" s="1"/>
  <c r="X181" i="23"/>
  <c r="AB181" i="23"/>
  <c r="AA181" i="23"/>
  <c r="AB182" i="23"/>
  <c r="AA182" i="23"/>
  <c r="AC182" i="23"/>
  <c r="U182" i="23" s="1"/>
  <c r="X182" i="23"/>
  <c r="U185" i="23"/>
  <c r="AH186" i="23"/>
  <c r="AJ181" i="23"/>
  <c r="AJ183" i="23"/>
  <c r="AH182" i="23"/>
  <c r="AH184" i="23"/>
  <c r="AH185" i="23"/>
  <c r="AE180" i="23"/>
  <c r="AD180" i="23"/>
  <c r="Y180" i="23" s="1"/>
  <c r="Z180" i="23" s="1"/>
  <c r="S180" i="23"/>
  <c r="P180" i="23"/>
  <c r="O180" i="23"/>
  <c r="N180" i="23"/>
  <c r="AE179" i="23"/>
  <c r="AD179" i="23"/>
  <c r="Y179" i="23" s="1"/>
  <c r="Z179" i="23" s="1"/>
  <c r="S179" i="23"/>
  <c r="P179" i="23"/>
  <c r="AJ179" i="23" s="1"/>
  <c r="O179" i="23"/>
  <c r="N179" i="23"/>
  <c r="AA179" i="23" l="1"/>
  <c r="AC179" i="23"/>
  <c r="X179" i="23"/>
  <c r="AB179" i="23"/>
  <c r="AC180" i="23"/>
  <c r="X180" i="23"/>
  <c r="AB180" i="23"/>
  <c r="AA180" i="23"/>
  <c r="AJ180" i="23"/>
  <c r="AH179" i="23"/>
  <c r="AH180" i="23"/>
  <c r="F72" i="3"/>
  <c r="AE178" i="23"/>
  <c r="AD178" i="23"/>
  <c r="Y178" i="23" s="1"/>
  <c r="Z178" i="23" s="1"/>
  <c r="S178" i="23"/>
  <c r="P178" i="23"/>
  <c r="AJ178" i="23" s="1"/>
  <c r="O178" i="23"/>
  <c r="N178" i="23"/>
  <c r="AE177" i="23"/>
  <c r="AD177" i="23"/>
  <c r="Y177" i="23" s="1"/>
  <c r="Z177" i="23" s="1"/>
  <c r="S177" i="23"/>
  <c r="P177" i="23"/>
  <c r="AJ177" i="23" s="1"/>
  <c r="O177" i="23"/>
  <c r="N177" i="23"/>
  <c r="AC177" i="23" l="1"/>
  <c r="X177" i="23"/>
  <c r="AB177" i="23"/>
  <c r="AA177" i="23"/>
  <c r="AB178" i="23"/>
  <c r="AA178" i="23"/>
  <c r="X178" i="23"/>
  <c r="AC178" i="23"/>
  <c r="U178" i="23" s="1"/>
  <c r="AH177" i="23"/>
  <c r="AH178" i="23"/>
  <c r="F71" i="3"/>
  <c r="F70" i="3"/>
  <c r="F69" i="3"/>
  <c r="F68" i="3"/>
  <c r="F67" i="3"/>
  <c r="F66" i="3"/>
  <c r="AE176" i="23"/>
  <c r="AD176" i="23"/>
  <c r="Y176" i="23" s="1"/>
  <c r="Z176" i="23" s="1"/>
  <c r="S176" i="23"/>
  <c r="P176" i="23"/>
  <c r="AJ176" i="23" s="1"/>
  <c r="O176" i="23"/>
  <c r="N176" i="23"/>
  <c r="AE175" i="23"/>
  <c r="AD175" i="23"/>
  <c r="Y175" i="23" s="1"/>
  <c r="Z175" i="23" s="1"/>
  <c r="S175" i="23"/>
  <c r="P175" i="23"/>
  <c r="AJ175" i="23" s="1"/>
  <c r="O175" i="23"/>
  <c r="N175" i="23"/>
  <c r="AE174" i="23"/>
  <c r="AD174" i="23"/>
  <c r="Y174" i="23" s="1"/>
  <c r="Z174" i="23" s="1"/>
  <c r="S174" i="23"/>
  <c r="P174" i="23"/>
  <c r="AJ174" i="23" s="1"/>
  <c r="O174" i="23"/>
  <c r="N174" i="23"/>
  <c r="G69" i="3"/>
  <c r="G68" i="3"/>
  <c r="G71" i="3"/>
  <c r="G66" i="3"/>
  <c r="G67" i="3"/>
  <c r="AA175" i="23" l="1"/>
  <c r="AC175" i="23"/>
  <c r="X175" i="23"/>
  <c r="AB175" i="23"/>
  <c r="AB174" i="23"/>
  <c r="AA174" i="23"/>
  <c r="AC174" i="23"/>
  <c r="X174" i="23"/>
  <c r="AC176" i="23"/>
  <c r="X176" i="23"/>
  <c r="AB176" i="23"/>
  <c r="AA176" i="23"/>
  <c r="AH175" i="23"/>
  <c r="AH176" i="23"/>
  <c r="AH174" i="23"/>
  <c r="AE173" i="23"/>
  <c r="AD173" i="23"/>
  <c r="Y173" i="23" s="1"/>
  <c r="Z173" i="23" s="1"/>
  <c r="S173" i="23"/>
  <c r="P173" i="23"/>
  <c r="AJ173" i="23" s="1"/>
  <c r="O173" i="23"/>
  <c r="N173" i="23"/>
  <c r="P169" i="23"/>
  <c r="AJ169" i="23" s="1"/>
  <c r="N3" i="25"/>
  <c r="P3" i="25" s="1"/>
  <c r="AE172" i="23"/>
  <c r="AD172" i="23"/>
  <c r="Y172" i="23" s="1"/>
  <c r="Z172" i="23" s="1"/>
  <c r="S172" i="23"/>
  <c r="P172" i="23"/>
  <c r="AJ172" i="23" s="1"/>
  <c r="O172" i="23"/>
  <c r="N172" i="23"/>
  <c r="AE171" i="23"/>
  <c r="AD171" i="23"/>
  <c r="Y171" i="23" s="1"/>
  <c r="Z171" i="23" s="1"/>
  <c r="S171" i="23"/>
  <c r="P171" i="23"/>
  <c r="AJ171" i="23" s="1"/>
  <c r="O171" i="23"/>
  <c r="N171" i="23"/>
  <c r="AE170" i="23"/>
  <c r="AD170" i="23"/>
  <c r="Y170" i="23" s="1"/>
  <c r="Z170" i="23" s="1"/>
  <c r="T170" i="23"/>
  <c r="S170" i="23"/>
  <c r="P170" i="23"/>
  <c r="AJ170" i="23" s="1"/>
  <c r="O170" i="23"/>
  <c r="N170" i="23"/>
  <c r="AE169" i="23"/>
  <c r="AD169" i="23"/>
  <c r="Y169" i="23" s="1"/>
  <c r="Z169" i="23" s="1"/>
  <c r="S169" i="23"/>
  <c r="O169" i="23"/>
  <c r="N169" i="23"/>
  <c r="AE168" i="23"/>
  <c r="AD168" i="23"/>
  <c r="Y168" i="23" s="1"/>
  <c r="Z168" i="23" s="1"/>
  <c r="S168" i="23"/>
  <c r="P168" i="23"/>
  <c r="O168" i="23"/>
  <c r="N168" i="23"/>
  <c r="R170" i="23" l="1"/>
  <c r="AA171" i="23"/>
  <c r="AC171" i="23"/>
  <c r="X171" i="23"/>
  <c r="AB171" i="23"/>
  <c r="AC173" i="23"/>
  <c r="X173" i="23"/>
  <c r="AB173" i="23"/>
  <c r="AA173" i="23"/>
  <c r="AC169" i="23"/>
  <c r="X169" i="23"/>
  <c r="AB169" i="23"/>
  <c r="AA169" i="23"/>
  <c r="AB170" i="23"/>
  <c r="AA170" i="23"/>
  <c r="AC170" i="23"/>
  <c r="U170" i="23" s="1"/>
  <c r="X170" i="23"/>
  <c r="AC168" i="23"/>
  <c r="X168" i="23"/>
  <c r="AB168" i="23"/>
  <c r="AA168" i="23"/>
  <c r="AC172" i="23"/>
  <c r="X172" i="23"/>
  <c r="AB172" i="23"/>
  <c r="AA172" i="23"/>
  <c r="AJ168" i="23"/>
  <c r="AH173" i="23"/>
  <c r="AH172" i="23"/>
  <c r="AH170" i="23"/>
  <c r="AH171" i="23"/>
  <c r="AH169" i="23"/>
  <c r="AH168" i="23"/>
  <c r="AE167" i="23"/>
  <c r="AD167" i="23"/>
  <c r="Y167" i="23" s="1"/>
  <c r="Z167" i="23" s="1"/>
  <c r="S167" i="23"/>
  <c r="P167" i="23"/>
  <c r="AJ167" i="23" s="1"/>
  <c r="O167" i="23"/>
  <c r="N167" i="23"/>
  <c r="AE166" i="23"/>
  <c r="AD166" i="23"/>
  <c r="Y166" i="23" s="1"/>
  <c r="Z166" i="23" s="1"/>
  <c r="S166" i="23"/>
  <c r="P166" i="23"/>
  <c r="AJ166" i="23" s="1"/>
  <c r="O166" i="23"/>
  <c r="N166" i="23"/>
  <c r="AA167" i="23" l="1"/>
  <c r="AC167" i="23"/>
  <c r="U167" i="23" s="1"/>
  <c r="X167" i="23"/>
  <c r="AB167" i="23"/>
  <c r="AB166" i="23"/>
  <c r="AA166" i="23"/>
  <c r="AC166" i="23"/>
  <c r="X166" i="23"/>
  <c r="AH167" i="23"/>
  <c r="AH166" i="23"/>
  <c r="M8" i="3"/>
  <c r="O8" i="3" s="1"/>
  <c r="M7" i="3"/>
  <c r="O7" i="3" s="1"/>
  <c r="M6" i="3"/>
  <c r="O6" i="3" s="1"/>
  <c r="M5" i="3"/>
  <c r="O5" i="3" s="1"/>
  <c r="K3" i="3"/>
  <c r="M3" i="3" s="1"/>
  <c r="O3" i="3" s="1"/>
  <c r="O4" i="3" l="1"/>
  <c r="O2" i="3" s="1"/>
  <c r="AE165" i="23"/>
  <c r="AD165" i="23"/>
  <c r="Y165" i="23" s="1"/>
  <c r="Z165" i="23" s="1"/>
  <c r="S165" i="23"/>
  <c r="P165" i="23"/>
  <c r="AJ165" i="23" s="1"/>
  <c r="O165" i="23"/>
  <c r="N165" i="23"/>
  <c r="AC165" i="23" l="1"/>
  <c r="X165" i="23"/>
  <c r="AB165" i="23"/>
  <c r="AA165" i="23"/>
  <c r="AH165" i="23"/>
  <c r="AE164" i="23"/>
  <c r="AD164" i="23"/>
  <c r="Y164" i="23" s="1"/>
  <c r="Z164" i="23" s="1"/>
  <c r="S164" i="23"/>
  <c r="P164" i="23"/>
  <c r="AJ164" i="23" s="1"/>
  <c r="O164" i="23"/>
  <c r="N164" i="23"/>
  <c r="AE163" i="23"/>
  <c r="AD163" i="23"/>
  <c r="Y163" i="23" s="1"/>
  <c r="Z163" i="23" s="1"/>
  <c r="S163" i="23"/>
  <c r="P163" i="23"/>
  <c r="AJ163" i="23" s="1"/>
  <c r="O163" i="23"/>
  <c r="N163" i="23"/>
  <c r="AE162" i="23"/>
  <c r="AD162" i="23"/>
  <c r="Y162" i="23" s="1"/>
  <c r="Z162" i="23" s="1"/>
  <c r="S162" i="23"/>
  <c r="P162" i="23"/>
  <c r="AJ162" i="23" s="1"/>
  <c r="O162" i="23"/>
  <c r="N162" i="23"/>
  <c r="G59" i="3"/>
  <c r="G63" i="3"/>
  <c r="G45" i="3"/>
  <c r="G39" i="3"/>
  <c r="G44" i="3"/>
  <c r="G32" i="3"/>
  <c r="G36" i="3"/>
  <c r="G57" i="3"/>
  <c r="G42" i="3"/>
  <c r="G37" i="3"/>
  <c r="G21" i="3"/>
  <c r="G60" i="3"/>
  <c r="G41" i="3"/>
  <c r="G22" i="3"/>
  <c r="G26" i="3"/>
  <c r="G33" i="3"/>
  <c r="G31" i="3"/>
  <c r="G47" i="3"/>
  <c r="G55" i="3"/>
  <c r="G62" i="3"/>
  <c r="G34" i="3"/>
  <c r="G38" i="3"/>
  <c r="G53" i="3"/>
  <c r="G46" i="3"/>
  <c r="G61" i="3"/>
  <c r="G18" i="3"/>
  <c r="G51" i="3"/>
  <c r="G24" i="3"/>
  <c r="G43" i="3"/>
  <c r="G23" i="3"/>
  <c r="G40" i="3"/>
  <c r="G58" i="3"/>
  <c r="G35" i="3"/>
  <c r="G25" i="3"/>
  <c r="G52" i="3"/>
  <c r="AA163" i="23" l="1"/>
  <c r="AC163" i="23"/>
  <c r="U163" i="23" s="1"/>
  <c r="X163" i="23"/>
  <c r="AB163" i="23"/>
  <c r="AB162" i="23"/>
  <c r="AA162" i="23"/>
  <c r="X162" i="23"/>
  <c r="AC162" i="23"/>
  <c r="U162" i="23" s="1"/>
  <c r="AC164" i="23"/>
  <c r="X164" i="23"/>
  <c r="AB164" i="23"/>
  <c r="AA164" i="23"/>
  <c r="AH162" i="23"/>
  <c r="AH164" i="23"/>
  <c r="AH163" i="23"/>
  <c r="F65" i="3"/>
  <c r="AE161" i="23"/>
  <c r="AD161" i="23"/>
  <c r="Y161" i="23" s="1"/>
  <c r="Z161" i="23" s="1"/>
  <c r="S161" i="23"/>
  <c r="P161" i="23"/>
  <c r="AH161" i="23" s="1"/>
  <c r="O161" i="23"/>
  <c r="N161" i="23"/>
  <c r="AE160" i="23"/>
  <c r="AD160" i="23"/>
  <c r="Y160" i="23" s="1"/>
  <c r="Z160" i="23" s="1"/>
  <c r="S160" i="23"/>
  <c r="P160" i="23"/>
  <c r="AJ160" i="23" s="1"/>
  <c r="O160" i="23"/>
  <c r="N160" i="23"/>
  <c r="AE159" i="23"/>
  <c r="AD159" i="23"/>
  <c r="Y159" i="23" s="1"/>
  <c r="Z159" i="23" s="1"/>
  <c r="S159" i="23"/>
  <c r="P159" i="23"/>
  <c r="AJ159" i="23" s="1"/>
  <c r="O159" i="23"/>
  <c r="N159" i="23"/>
  <c r="I65" i="3"/>
  <c r="AC160" i="23" l="1"/>
  <c r="X160" i="23"/>
  <c r="AB160" i="23"/>
  <c r="AA160" i="23"/>
  <c r="AA159" i="23"/>
  <c r="AC159" i="23"/>
  <c r="X159" i="23"/>
  <c r="AB159" i="23"/>
  <c r="AC161" i="23"/>
  <c r="X161" i="23"/>
  <c r="AB161" i="23"/>
  <c r="AA161" i="23"/>
  <c r="AJ161" i="23"/>
  <c r="AH159" i="23"/>
  <c r="AH160" i="23"/>
  <c r="F64" i="3"/>
  <c r="F63" i="3"/>
  <c r="F62" i="3"/>
  <c r="AE158" i="23"/>
  <c r="AD158" i="23"/>
  <c r="Y158" i="23" s="1"/>
  <c r="Z158" i="23" s="1"/>
  <c r="S158" i="23"/>
  <c r="P158" i="23"/>
  <c r="AJ158" i="23" s="1"/>
  <c r="O158" i="23"/>
  <c r="N158" i="23"/>
  <c r="I62" i="3"/>
  <c r="I63" i="3"/>
  <c r="I64" i="3"/>
  <c r="AB158" i="23" l="1"/>
  <c r="AA158" i="23"/>
  <c r="AC158" i="23"/>
  <c r="X158" i="23"/>
  <c r="AH158" i="23"/>
  <c r="AE157" i="23"/>
  <c r="AD157" i="23"/>
  <c r="Y157" i="23" s="1"/>
  <c r="Z157" i="23" s="1"/>
  <c r="T157" i="23"/>
  <c r="S157" i="23"/>
  <c r="P157" i="23"/>
  <c r="AJ157" i="23" s="1"/>
  <c r="O157" i="23"/>
  <c r="N157" i="23"/>
  <c r="AE156" i="23"/>
  <c r="AD156" i="23"/>
  <c r="Y156" i="23" s="1"/>
  <c r="Z156" i="23" s="1"/>
  <c r="S156" i="23"/>
  <c r="P156" i="23"/>
  <c r="AH156" i="23" s="1"/>
  <c r="O156" i="23"/>
  <c r="N156" i="23"/>
  <c r="AE155" i="23"/>
  <c r="AD155" i="23"/>
  <c r="Y155" i="23" s="1"/>
  <c r="Z155" i="23" s="1"/>
  <c r="S155" i="23"/>
  <c r="P155" i="23"/>
  <c r="AH155" i="23" s="1"/>
  <c r="O155" i="23"/>
  <c r="N155" i="23"/>
  <c r="AE154" i="23"/>
  <c r="AD154" i="23"/>
  <c r="Y154" i="23" s="1"/>
  <c r="Z154" i="23" s="1"/>
  <c r="S154" i="23"/>
  <c r="P154" i="23"/>
  <c r="AJ154" i="23" s="1"/>
  <c r="O154" i="23"/>
  <c r="N154" i="23"/>
  <c r="R157" i="23" l="1"/>
  <c r="AC156" i="23"/>
  <c r="X156" i="23"/>
  <c r="AB156" i="23"/>
  <c r="AA156" i="23"/>
  <c r="AC157" i="23"/>
  <c r="U157" i="23" s="1"/>
  <c r="X157" i="23"/>
  <c r="AB157" i="23"/>
  <c r="AA157" i="23"/>
  <c r="AA155" i="23"/>
  <c r="AC155" i="23"/>
  <c r="X155" i="23"/>
  <c r="AB155" i="23"/>
  <c r="AB154" i="23"/>
  <c r="AC154" i="23"/>
  <c r="AA154" i="23"/>
  <c r="X154" i="23"/>
  <c r="AH157" i="23"/>
  <c r="AJ156" i="23"/>
  <c r="AJ155" i="23"/>
  <c r="AH154" i="23"/>
  <c r="AE153" i="23"/>
  <c r="AD153" i="23"/>
  <c r="Y153" i="23" s="1"/>
  <c r="Z153" i="23" s="1"/>
  <c r="S153" i="23"/>
  <c r="P153" i="23"/>
  <c r="AJ153" i="23" s="1"/>
  <c r="O153" i="23"/>
  <c r="N153" i="23"/>
  <c r="AE152" i="23"/>
  <c r="AD152" i="23"/>
  <c r="Y152" i="23" s="1"/>
  <c r="Z152" i="23" s="1"/>
  <c r="S152" i="23"/>
  <c r="P152" i="23"/>
  <c r="AJ152" i="23" s="1"/>
  <c r="O152" i="23"/>
  <c r="N152" i="23"/>
  <c r="AE151" i="23"/>
  <c r="AD151" i="23"/>
  <c r="Y151" i="23" s="1"/>
  <c r="Z151" i="23" s="1"/>
  <c r="S151" i="23"/>
  <c r="P151" i="23"/>
  <c r="AJ151" i="23" s="1"/>
  <c r="O151" i="23"/>
  <c r="N151" i="23"/>
  <c r="AE150" i="23"/>
  <c r="AD150" i="23"/>
  <c r="Y150" i="23" s="1"/>
  <c r="Z150" i="23" s="1"/>
  <c r="S150" i="23"/>
  <c r="P150" i="23"/>
  <c r="AH150" i="23" s="1"/>
  <c r="O150" i="23"/>
  <c r="N150" i="23"/>
  <c r="AE149" i="23"/>
  <c r="AD149" i="23"/>
  <c r="Y149" i="23" s="1"/>
  <c r="Z149" i="23" s="1"/>
  <c r="S149" i="23"/>
  <c r="P149" i="23"/>
  <c r="AJ149" i="23" s="1"/>
  <c r="O149" i="23"/>
  <c r="N149" i="23"/>
  <c r="AE148" i="23"/>
  <c r="AD148" i="23"/>
  <c r="Y148" i="23" s="1"/>
  <c r="Z148" i="23" s="1"/>
  <c r="S148" i="23"/>
  <c r="P148" i="23"/>
  <c r="AJ148" i="23" s="1"/>
  <c r="O148" i="23"/>
  <c r="N148" i="23"/>
  <c r="AE147" i="23"/>
  <c r="AD147" i="23"/>
  <c r="Y147" i="23" s="1"/>
  <c r="Z147" i="23" s="1"/>
  <c r="S147" i="23"/>
  <c r="P147" i="23"/>
  <c r="AJ147" i="23" s="1"/>
  <c r="O147" i="23"/>
  <c r="N147" i="23"/>
  <c r="AE146" i="23"/>
  <c r="AD146" i="23"/>
  <c r="Y146" i="23" s="1"/>
  <c r="Z146" i="23" s="1"/>
  <c r="S146" i="23"/>
  <c r="P146" i="23"/>
  <c r="AH146" i="23" s="1"/>
  <c r="O146" i="23"/>
  <c r="N146" i="23"/>
  <c r="AE145" i="23"/>
  <c r="AD145" i="23"/>
  <c r="Y145" i="23" s="1"/>
  <c r="Z145" i="23" s="1"/>
  <c r="S145" i="23"/>
  <c r="P145" i="23"/>
  <c r="AJ145" i="23" s="1"/>
  <c r="O145" i="23"/>
  <c r="N145" i="23"/>
  <c r="AE144" i="23"/>
  <c r="AD144" i="23"/>
  <c r="Y144" i="23" s="1"/>
  <c r="Z144" i="23" s="1"/>
  <c r="S144" i="23"/>
  <c r="P144" i="23"/>
  <c r="AJ144" i="23" s="1"/>
  <c r="O144" i="23"/>
  <c r="N144" i="23"/>
  <c r="AB146" i="23" l="1"/>
  <c r="AC146" i="23"/>
  <c r="U146" i="23" s="1"/>
  <c r="AA146" i="23"/>
  <c r="X146" i="23"/>
  <c r="AB150" i="23"/>
  <c r="AA150" i="23"/>
  <c r="X150" i="23"/>
  <c r="AC150" i="23"/>
  <c r="U150" i="23" s="1"/>
  <c r="AC145" i="23"/>
  <c r="X145" i="23"/>
  <c r="AA145" i="23"/>
  <c r="AB145" i="23"/>
  <c r="AC149" i="23"/>
  <c r="U149" i="23" s="1"/>
  <c r="X149" i="23"/>
  <c r="AA149" i="23"/>
  <c r="AB149" i="23"/>
  <c r="AC153" i="23"/>
  <c r="X153" i="23"/>
  <c r="AA153" i="23"/>
  <c r="AB153" i="23"/>
  <c r="AB144" i="23"/>
  <c r="X144" i="23"/>
  <c r="AC144" i="23"/>
  <c r="U144" i="23" s="1"/>
  <c r="AA144" i="23"/>
  <c r="AB148" i="23"/>
  <c r="AC148" i="23"/>
  <c r="AA148" i="23"/>
  <c r="X148" i="23"/>
  <c r="AB152" i="23"/>
  <c r="X152" i="23"/>
  <c r="AC152" i="23"/>
  <c r="AA152" i="23"/>
  <c r="AA147" i="23"/>
  <c r="AC147" i="23"/>
  <c r="U147" i="23" s="1"/>
  <c r="X147" i="23"/>
  <c r="AB147" i="23"/>
  <c r="AA151" i="23"/>
  <c r="AC151" i="23"/>
  <c r="U151" i="23" s="1"/>
  <c r="X151" i="23"/>
  <c r="AB151" i="23"/>
  <c r="U145" i="23"/>
  <c r="U148" i="23"/>
  <c r="U152" i="23"/>
  <c r="AH144" i="23"/>
  <c r="AH148" i="23"/>
  <c r="AH152" i="23"/>
  <c r="AH147" i="23"/>
  <c r="AH151" i="23"/>
  <c r="AJ146" i="23"/>
  <c r="AJ150" i="23"/>
  <c r="AH145" i="23"/>
  <c r="AH149" i="23"/>
  <c r="AH153" i="23"/>
  <c r="F59" i="3"/>
  <c r="AE143" i="23"/>
  <c r="AD143" i="23"/>
  <c r="Y143" i="23" s="1"/>
  <c r="Z143" i="23" s="1"/>
  <c r="S143" i="23"/>
  <c r="P143" i="23"/>
  <c r="AJ143" i="23" s="1"/>
  <c r="O143" i="23"/>
  <c r="N143" i="23"/>
  <c r="AE142" i="23"/>
  <c r="AD142" i="23"/>
  <c r="Y142" i="23" s="1"/>
  <c r="Z142" i="23" s="1"/>
  <c r="S142" i="23"/>
  <c r="P142" i="23"/>
  <c r="AJ142" i="23" s="1"/>
  <c r="O142" i="23"/>
  <c r="N142" i="23"/>
  <c r="AE141" i="23"/>
  <c r="AD141" i="23"/>
  <c r="Y141" i="23" s="1"/>
  <c r="Z141" i="23" s="1"/>
  <c r="S141" i="23"/>
  <c r="P141" i="23"/>
  <c r="AJ141" i="23" s="1"/>
  <c r="O141" i="23"/>
  <c r="N141" i="23"/>
  <c r="AA143" i="23" l="1"/>
  <c r="AC143" i="23"/>
  <c r="X143" i="23"/>
  <c r="AB143" i="23"/>
  <c r="AB142" i="23"/>
  <c r="AA142" i="23"/>
  <c r="X142" i="23"/>
  <c r="AC142" i="23"/>
  <c r="AA141" i="23"/>
  <c r="AC141" i="23"/>
  <c r="U141" i="23" s="1"/>
  <c r="X141" i="23"/>
  <c r="AB141" i="23"/>
  <c r="AH142" i="23"/>
  <c r="AH141" i="23"/>
  <c r="AH143" i="23"/>
  <c r="AE140" i="23"/>
  <c r="AD140" i="23"/>
  <c r="Y140" i="23" s="1"/>
  <c r="Z140" i="23" s="1"/>
  <c r="S140" i="23"/>
  <c r="P140" i="23"/>
  <c r="AJ140" i="23" s="1"/>
  <c r="O140" i="23"/>
  <c r="N140" i="23"/>
  <c r="AE139" i="23"/>
  <c r="AD139" i="23"/>
  <c r="Y139" i="23" s="1"/>
  <c r="Z139" i="23" s="1"/>
  <c r="S139" i="23"/>
  <c r="P139" i="23"/>
  <c r="AH139" i="23" s="1"/>
  <c r="O139" i="23"/>
  <c r="N139" i="23"/>
  <c r="AE138" i="23"/>
  <c r="AD138" i="23"/>
  <c r="Y138" i="23" s="1"/>
  <c r="Z138" i="23" s="1"/>
  <c r="S138" i="23"/>
  <c r="P138" i="23"/>
  <c r="AJ138" i="23" s="1"/>
  <c r="O138" i="23"/>
  <c r="N138" i="23"/>
  <c r="AC139" i="23" l="1"/>
  <c r="X139" i="23"/>
  <c r="AB139" i="23"/>
  <c r="AA139" i="23"/>
  <c r="AC138" i="23"/>
  <c r="X138" i="23"/>
  <c r="AB138" i="23"/>
  <c r="AA138" i="23"/>
  <c r="AB140" i="23"/>
  <c r="AA140" i="23"/>
  <c r="X140" i="23"/>
  <c r="AC140" i="23"/>
  <c r="U139" i="23"/>
  <c r="AH140" i="23"/>
  <c r="AJ139" i="23"/>
  <c r="AH138" i="23"/>
  <c r="AE137" i="23"/>
  <c r="AD137" i="23"/>
  <c r="Y137" i="23" s="1"/>
  <c r="Z137" i="23" s="1"/>
  <c r="S137" i="23"/>
  <c r="P137" i="23"/>
  <c r="AJ137" i="23" s="1"/>
  <c r="O137" i="23"/>
  <c r="N137" i="23"/>
  <c r="AE136" i="23"/>
  <c r="AD136" i="23"/>
  <c r="Y136" i="23" s="1"/>
  <c r="Z136" i="23" s="1"/>
  <c r="S136" i="23"/>
  <c r="P136" i="23"/>
  <c r="AJ136" i="23" s="1"/>
  <c r="O136" i="23"/>
  <c r="N136" i="23"/>
  <c r="AE135" i="23"/>
  <c r="AD135" i="23"/>
  <c r="Y135" i="23" s="1"/>
  <c r="Z135" i="23" s="1"/>
  <c r="S135" i="23"/>
  <c r="P135" i="23"/>
  <c r="AJ135" i="23" s="1"/>
  <c r="O135" i="23"/>
  <c r="N135" i="23"/>
  <c r="AE134" i="23"/>
  <c r="AD134" i="23"/>
  <c r="Y134" i="23" s="1"/>
  <c r="Z134" i="23" s="1"/>
  <c r="S134" i="23"/>
  <c r="P134" i="23"/>
  <c r="AJ134" i="23" s="1"/>
  <c r="O134" i="23"/>
  <c r="N134" i="23"/>
  <c r="AE133" i="23"/>
  <c r="AD133" i="23"/>
  <c r="Y133" i="23" s="1"/>
  <c r="Z133" i="23" s="1"/>
  <c r="S133" i="23"/>
  <c r="P133" i="23"/>
  <c r="AJ133" i="23" s="1"/>
  <c r="O133" i="23"/>
  <c r="N133" i="23"/>
  <c r="AE132" i="23"/>
  <c r="AD132" i="23"/>
  <c r="Y132" i="23" s="1"/>
  <c r="Z132" i="23" s="1"/>
  <c r="S132" i="23"/>
  <c r="P132" i="23"/>
  <c r="AJ132" i="23" s="1"/>
  <c r="O132" i="23"/>
  <c r="N132" i="23"/>
  <c r="AE131" i="23"/>
  <c r="AD131" i="23"/>
  <c r="Y131" i="23" s="1"/>
  <c r="Z131" i="23" s="1"/>
  <c r="S131" i="23"/>
  <c r="P131" i="23"/>
  <c r="AJ131" i="23" s="1"/>
  <c r="O131" i="23"/>
  <c r="N131" i="23"/>
  <c r="AE130" i="23"/>
  <c r="AD130" i="23"/>
  <c r="Y130" i="23" s="1"/>
  <c r="Z130" i="23" s="1"/>
  <c r="S130" i="23"/>
  <c r="P130" i="23"/>
  <c r="AH130" i="23" s="1"/>
  <c r="O130" i="23"/>
  <c r="N130" i="23"/>
  <c r="AE129" i="23"/>
  <c r="AD129" i="23"/>
  <c r="Y129" i="23" s="1"/>
  <c r="Z129" i="23" s="1"/>
  <c r="S129" i="23"/>
  <c r="P129" i="23"/>
  <c r="AJ129" i="23" s="1"/>
  <c r="O129" i="23"/>
  <c r="N129" i="23"/>
  <c r="AE128" i="23"/>
  <c r="AD128" i="23"/>
  <c r="Y128" i="23" s="1"/>
  <c r="Z128" i="23" s="1"/>
  <c r="S128" i="23"/>
  <c r="P128" i="23"/>
  <c r="AJ128" i="23" s="1"/>
  <c r="O128" i="23"/>
  <c r="N128" i="23"/>
  <c r="AE127" i="23"/>
  <c r="AD127" i="23"/>
  <c r="Y127" i="23" s="1"/>
  <c r="Z127" i="23" s="1"/>
  <c r="T127" i="23"/>
  <c r="S127" i="23"/>
  <c r="P127" i="23"/>
  <c r="AJ127" i="23" s="1"/>
  <c r="O127" i="23"/>
  <c r="N127" i="23"/>
  <c r="AE126" i="23"/>
  <c r="AD126" i="23"/>
  <c r="Y126" i="23" s="1"/>
  <c r="Z126" i="23" s="1"/>
  <c r="S126" i="23"/>
  <c r="P126" i="23"/>
  <c r="AJ126" i="23" s="1"/>
  <c r="O126" i="23"/>
  <c r="N126" i="23"/>
  <c r="AE125" i="23"/>
  <c r="AD125" i="23"/>
  <c r="Y125" i="23" s="1"/>
  <c r="Z125" i="23" s="1"/>
  <c r="S125" i="23"/>
  <c r="P125" i="23"/>
  <c r="AH125" i="23" s="1"/>
  <c r="O125" i="23"/>
  <c r="N125" i="23"/>
  <c r="AE124" i="23"/>
  <c r="AD124" i="23"/>
  <c r="Y124" i="23" s="1"/>
  <c r="Z124" i="23" s="1"/>
  <c r="S124" i="23"/>
  <c r="P124" i="23"/>
  <c r="AJ124" i="23" s="1"/>
  <c r="O124" i="23"/>
  <c r="N124" i="23"/>
  <c r="AE123" i="23"/>
  <c r="AD123" i="23"/>
  <c r="Y123" i="23" s="1"/>
  <c r="Z123" i="23" s="1"/>
  <c r="S123" i="23"/>
  <c r="P123" i="23"/>
  <c r="O123" i="23"/>
  <c r="N123" i="23"/>
  <c r="AE122" i="23"/>
  <c r="AD122" i="23"/>
  <c r="Y122" i="23" s="1"/>
  <c r="Z122" i="23" s="1"/>
  <c r="S122" i="23"/>
  <c r="P122" i="23"/>
  <c r="AJ122" i="23" s="1"/>
  <c r="O122" i="23"/>
  <c r="N122" i="23"/>
  <c r="AE121" i="23"/>
  <c r="AD121" i="23"/>
  <c r="Y121" i="23" s="1"/>
  <c r="Z121" i="23" s="1"/>
  <c r="S121" i="23"/>
  <c r="P121" i="23"/>
  <c r="AJ121" i="23" s="1"/>
  <c r="O121" i="23"/>
  <c r="N121" i="23"/>
  <c r="R127" i="23" l="1"/>
  <c r="AC122" i="23"/>
  <c r="X122" i="23"/>
  <c r="AB122" i="23"/>
  <c r="AA122" i="23"/>
  <c r="AC135" i="23"/>
  <c r="X135" i="23"/>
  <c r="AB135" i="23"/>
  <c r="AA135" i="23"/>
  <c r="AA125" i="23"/>
  <c r="AC125" i="23"/>
  <c r="X125" i="23"/>
  <c r="AB125" i="23"/>
  <c r="AC130" i="23"/>
  <c r="X130" i="23"/>
  <c r="AB130" i="23"/>
  <c r="AA130" i="23"/>
  <c r="AC123" i="23"/>
  <c r="X123" i="23"/>
  <c r="AB123" i="23"/>
  <c r="AA123" i="23"/>
  <c r="AB128" i="23"/>
  <c r="AA128" i="23"/>
  <c r="X128" i="23"/>
  <c r="AC128" i="23"/>
  <c r="AB132" i="23"/>
  <c r="AA132" i="23"/>
  <c r="AC132" i="23"/>
  <c r="X132" i="23"/>
  <c r="AB136" i="23"/>
  <c r="AA136" i="23"/>
  <c r="AC136" i="23"/>
  <c r="U136" i="23" s="1"/>
  <c r="X136" i="23"/>
  <c r="AC126" i="23"/>
  <c r="X126" i="23"/>
  <c r="AB126" i="23"/>
  <c r="AA126" i="23"/>
  <c r="AC127" i="23"/>
  <c r="U127" i="23" s="1"/>
  <c r="X127" i="23"/>
  <c r="AB127" i="23"/>
  <c r="AA127" i="23"/>
  <c r="AC131" i="23"/>
  <c r="X131" i="23"/>
  <c r="AB131" i="23"/>
  <c r="AA131" i="23"/>
  <c r="AA121" i="23"/>
  <c r="AC121" i="23"/>
  <c r="X121" i="23"/>
  <c r="AB121" i="23"/>
  <c r="AC134" i="23"/>
  <c r="X134" i="23"/>
  <c r="AB134" i="23"/>
  <c r="AA134" i="23"/>
  <c r="AB124" i="23"/>
  <c r="AA124" i="23"/>
  <c r="X124" i="23"/>
  <c r="AC124" i="23"/>
  <c r="AA129" i="23"/>
  <c r="AC129" i="23"/>
  <c r="X129" i="23"/>
  <c r="AB129" i="23"/>
  <c r="AA133" i="23"/>
  <c r="AC133" i="23"/>
  <c r="X133" i="23"/>
  <c r="AB133" i="23"/>
  <c r="AA137" i="23"/>
  <c r="AC137" i="23"/>
  <c r="U137" i="23" s="1"/>
  <c r="X137" i="23"/>
  <c r="AB137" i="23"/>
  <c r="AJ123" i="23"/>
  <c r="AH135" i="23"/>
  <c r="AH136" i="23"/>
  <c r="AH137" i="23"/>
  <c r="AH131" i="23"/>
  <c r="AH134" i="23"/>
  <c r="AH132" i="23"/>
  <c r="AH133" i="23"/>
  <c r="AJ130" i="23"/>
  <c r="AH123" i="23"/>
  <c r="AH122" i="23"/>
  <c r="AH126" i="23"/>
  <c r="AH129" i="23"/>
  <c r="AH127" i="23"/>
  <c r="AJ125" i="23"/>
  <c r="AH124" i="23"/>
  <c r="AH128" i="23"/>
  <c r="AH121" i="23"/>
  <c r="AE120" i="23"/>
  <c r="AD120" i="23"/>
  <c r="Y120" i="23" s="1"/>
  <c r="Z120" i="23" s="1"/>
  <c r="S120" i="23"/>
  <c r="P120" i="23"/>
  <c r="AJ120" i="23" s="1"/>
  <c r="O120" i="23"/>
  <c r="N120" i="23"/>
  <c r="AE119" i="23"/>
  <c r="AD119" i="23"/>
  <c r="Y119" i="23" s="1"/>
  <c r="Z119" i="23" s="1"/>
  <c r="S119" i="23"/>
  <c r="P119" i="23"/>
  <c r="AJ119" i="23" s="1"/>
  <c r="O119" i="23"/>
  <c r="N119" i="23"/>
  <c r="AE118" i="23"/>
  <c r="AD118" i="23"/>
  <c r="Y118" i="23" s="1"/>
  <c r="Z118" i="23" s="1"/>
  <c r="S118" i="23"/>
  <c r="P118" i="23"/>
  <c r="AJ118" i="23" s="1"/>
  <c r="O118" i="23"/>
  <c r="N118" i="23"/>
  <c r="AE117" i="23"/>
  <c r="AD117" i="23"/>
  <c r="Y117" i="23" s="1"/>
  <c r="Z117" i="23" s="1"/>
  <c r="S117" i="23"/>
  <c r="P117" i="23"/>
  <c r="AH117" i="23" s="1"/>
  <c r="O117" i="23"/>
  <c r="N117" i="23"/>
  <c r="AE116" i="23"/>
  <c r="AD116" i="23"/>
  <c r="Y116" i="23" s="1"/>
  <c r="Z116" i="23" s="1"/>
  <c r="S116" i="23"/>
  <c r="P116" i="23"/>
  <c r="AJ116" i="23" s="1"/>
  <c r="O116" i="23"/>
  <c r="N116" i="23"/>
  <c r="AB116" i="23" l="1"/>
  <c r="AA116" i="23"/>
  <c r="AC116" i="23"/>
  <c r="U116" i="23" s="1"/>
  <c r="X116" i="23"/>
  <c r="AC119" i="23"/>
  <c r="X119" i="23"/>
  <c r="AB119" i="23"/>
  <c r="AA119" i="23"/>
  <c r="AC118" i="23"/>
  <c r="U118" i="23" s="1"/>
  <c r="X118" i="23"/>
  <c r="AB118" i="23"/>
  <c r="AA118" i="23"/>
  <c r="AB120" i="23"/>
  <c r="AA120" i="23"/>
  <c r="AC120" i="23"/>
  <c r="X120" i="23"/>
  <c r="AA117" i="23"/>
  <c r="AC117" i="23"/>
  <c r="U117" i="23" s="1"/>
  <c r="X117" i="23"/>
  <c r="AB117" i="23"/>
  <c r="U119" i="23"/>
  <c r="AH118" i="23"/>
  <c r="AH119" i="23"/>
  <c r="AJ117" i="23"/>
  <c r="AH120" i="23"/>
  <c r="AH116" i="23"/>
  <c r="AE115" i="23"/>
  <c r="AD115" i="23"/>
  <c r="Y115" i="23" s="1"/>
  <c r="Z115" i="23" s="1"/>
  <c r="S115" i="23"/>
  <c r="P115" i="23"/>
  <c r="AH115" i="23" s="1"/>
  <c r="O115" i="23"/>
  <c r="N115" i="23"/>
  <c r="AE114" i="23"/>
  <c r="AD114" i="23"/>
  <c r="Y114" i="23" s="1"/>
  <c r="Z114" i="23" s="1"/>
  <c r="S114" i="23"/>
  <c r="P114" i="23"/>
  <c r="AJ114" i="23" s="1"/>
  <c r="O114" i="23"/>
  <c r="N114" i="23"/>
  <c r="AE113" i="23"/>
  <c r="AD113" i="23"/>
  <c r="Y113" i="23" s="1"/>
  <c r="Z113" i="23" s="1"/>
  <c r="S113" i="23"/>
  <c r="P113" i="23"/>
  <c r="AJ113" i="23" s="1"/>
  <c r="O113" i="23"/>
  <c r="N113" i="23"/>
  <c r="AE112" i="23"/>
  <c r="AD112" i="23"/>
  <c r="Y112" i="23" s="1"/>
  <c r="Z112" i="23" s="1"/>
  <c r="T112" i="23"/>
  <c r="S112" i="23"/>
  <c r="P112" i="23"/>
  <c r="AJ112" i="23" s="1"/>
  <c r="O112" i="23"/>
  <c r="N112" i="23"/>
  <c r="AE111" i="23"/>
  <c r="AD111" i="23"/>
  <c r="Y111" i="23" s="1"/>
  <c r="Z111" i="23" s="1"/>
  <c r="S111" i="23"/>
  <c r="P111" i="23"/>
  <c r="AJ111" i="23" s="1"/>
  <c r="O111" i="23"/>
  <c r="N111" i="23"/>
  <c r="AE110" i="23"/>
  <c r="AD110" i="23"/>
  <c r="Y110" i="23" s="1"/>
  <c r="Z110" i="23" s="1"/>
  <c r="S110" i="23"/>
  <c r="P110" i="23"/>
  <c r="AJ110" i="23" s="1"/>
  <c r="O110" i="23"/>
  <c r="N110" i="23"/>
  <c r="R112" i="23" l="1"/>
  <c r="AC110" i="23"/>
  <c r="X110" i="23"/>
  <c r="AB110" i="23"/>
  <c r="AA110" i="23"/>
  <c r="AC114" i="23"/>
  <c r="U114" i="23" s="1"/>
  <c r="X114" i="23"/>
  <c r="AB114" i="23"/>
  <c r="AA114" i="23"/>
  <c r="AA113" i="23"/>
  <c r="AC113" i="23"/>
  <c r="X113" i="23"/>
  <c r="AB113" i="23"/>
  <c r="AC115" i="23"/>
  <c r="X115" i="23"/>
  <c r="AB115" i="23"/>
  <c r="AA115" i="23"/>
  <c r="AC111" i="23"/>
  <c r="U111" i="23" s="1"/>
  <c r="X111" i="23"/>
  <c r="AB111" i="23"/>
  <c r="AA111" i="23"/>
  <c r="AB112" i="23"/>
  <c r="AA112" i="23"/>
  <c r="X112" i="23"/>
  <c r="AC112" i="23"/>
  <c r="U112" i="23" s="1"/>
  <c r="U110" i="23"/>
  <c r="U113" i="23"/>
  <c r="AJ115" i="23"/>
  <c r="AH113" i="23"/>
  <c r="AH114" i="23"/>
  <c r="AH112" i="23"/>
  <c r="AH111" i="23"/>
  <c r="AH110" i="23"/>
  <c r="F61" i="3"/>
  <c r="F60" i="3"/>
  <c r="F58" i="3"/>
  <c r="AE109" i="23"/>
  <c r="AD109" i="23"/>
  <c r="Y109" i="23" s="1"/>
  <c r="Z109" i="23" s="1"/>
  <c r="S109" i="23"/>
  <c r="P109" i="23"/>
  <c r="AH109" i="23" s="1"/>
  <c r="O109" i="23"/>
  <c r="N109" i="23"/>
  <c r="AE108" i="23"/>
  <c r="AD108" i="23"/>
  <c r="Y108" i="23" s="1"/>
  <c r="Z108" i="23" s="1"/>
  <c r="T108" i="23"/>
  <c r="S108" i="23"/>
  <c r="P108" i="23"/>
  <c r="AJ108" i="23" s="1"/>
  <c r="O108" i="23"/>
  <c r="N108" i="23"/>
  <c r="AE107" i="23"/>
  <c r="AD107" i="23"/>
  <c r="Y107" i="23" s="1"/>
  <c r="Z107" i="23" s="1"/>
  <c r="T107" i="23"/>
  <c r="S107" i="23"/>
  <c r="P107" i="23"/>
  <c r="AJ107" i="23" s="1"/>
  <c r="O107" i="23"/>
  <c r="N107" i="23"/>
  <c r="AE106" i="23"/>
  <c r="AD106" i="23"/>
  <c r="Y106" i="23" s="1"/>
  <c r="Z106" i="23" s="1"/>
  <c r="S106" i="23"/>
  <c r="P106" i="23"/>
  <c r="AH106" i="23" s="1"/>
  <c r="O106" i="23"/>
  <c r="N106" i="23"/>
  <c r="I60" i="3"/>
  <c r="I59" i="3"/>
  <c r="I61" i="3"/>
  <c r="I58" i="3"/>
  <c r="R107" i="23" l="1"/>
  <c r="R108" i="23"/>
  <c r="AA109" i="23"/>
  <c r="AC109" i="23"/>
  <c r="U109" i="23" s="1"/>
  <c r="X109" i="23"/>
  <c r="AB109" i="23"/>
  <c r="AC106" i="23"/>
  <c r="X106" i="23"/>
  <c r="AB106" i="23"/>
  <c r="AA106" i="23"/>
  <c r="AC107" i="23"/>
  <c r="U107" i="23" s="1"/>
  <c r="X107" i="23"/>
  <c r="AB107" i="23"/>
  <c r="AA107" i="23"/>
  <c r="AB108" i="23"/>
  <c r="AA108" i="23"/>
  <c r="X108" i="23"/>
  <c r="AC108" i="23"/>
  <c r="U108" i="23" s="1"/>
  <c r="AJ109" i="23"/>
  <c r="AH107" i="23"/>
  <c r="AH108" i="23"/>
  <c r="AJ106" i="23"/>
  <c r="AE105" i="23"/>
  <c r="AD105" i="23"/>
  <c r="Y105" i="23" s="1"/>
  <c r="Z105" i="23" s="1"/>
  <c r="S105" i="23"/>
  <c r="P105" i="23"/>
  <c r="AJ105" i="23" s="1"/>
  <c r="O105" i="23"/>
  <c r="N105" i="23"/>
  <c r="AE104" i="23"/>
  <c r="AD104" i="23"/>
  <c r="Y104" i="23" s="1"/>
  <c r="Z104" i="23" s="1"/>
  <c r="S104" i="23"/>
  <c r="P104" i="23"/>
  <c r="AJ104" i="23" s="1"/>
  <c r="O104" i="23"/>
  <c r="N104" i="23"/>
  <c r="AE103" i="23"/>
  <c r="AD103" i="23"/>
  <c r="Y103" i="23" s="1"/>
  <c r="Z103" i="23" s="1"/>
  <c r="S103" i="23"/>
  <c r="P103" i="23"/>
  <c r="AJ103" i="23" s="1"/>
  <c r="O103" i="23"/>
  <c r="N103" i="23"/>
  <c r="AE102" i="23"/>
  <c r="AD102" i="23"/>
  <c r="Y102" i="23" s="1"/>
  <c r="Z102" i="23" s="1"/>
  <c r="S102" i="23"/>
  <c r="P102" i="23"/>
  <c r="AJ102" i="23" s="1"/>
  <c r="O102" i="23"/>
  <c r="N102" i="23"/>
  <c r="AE101" i="23"/>
  <c r="AD101" i="23"/>
  <c r="Y101" i="23" s="1"/>
  <c r="Z101" i="23" s="1"/>
  <c r="S101" i="23"/>
  <c r="P101" i="23"/>
  <c r="AJ101" i="23" s="1"/>
  <c r="O101" i="23"/>
  <c r="N101" i="23"/>
  <c r="AE100" i="23"/>
  <c r="AD100" i="23"/>
  <c r="Y100" i="23" s="1"/>
  <c r="Z100" i="23" s="1"/>
  <c r="S100" i="23"/>
  <c r="P100" i="23"/>
  <c r="AH100" i="23" s="1"/>
  <c r="O100" i="23"/>
  <c r="N100" i="23"/>
  <c r="AE99" i="23"/>
  <c r="AD99" i="23"/>
  <c r="Y99" i="23" s="1"/>
  <c r="Z99" i="23" s="1"/>
  <c r="S99" i="23"/>
  <c r="P99" i="23"/>
  <c r="AJ99" i="23" s="1"/>
  <c r="O99" i="23"/>
  <c r="N99" i="23"/>
  <c r="AB100" i="23" l="1"/>
  <c r="AA100" i="23"/>
  <c r="AC100" i="23"/>
  <c r="X100" i="23"/>
  <c r="AC99" i="23"/>
  <c r="X99" i="23"/>
  <c r="AB99" i="23"/>
  <c r="AA99" i="23"/>
  <c r="AC103" i="23"/>
  <c r="U103" i="23" s="1"/>
  <c r="X103" i="23"/>
  <c r="AB103" i="23"/>
  <c r="AA103" i="23"/>
  <c r="AC102" i="23"/>
  <c r="X102" i="23"/>
  <c r="AB102" i="23"/>
  <c r="AA102" i="23"/>
  <c r="AB104" i="23"/>
  <c r="AA104" i="23"/>
  <c r="AC104" i="23"/>
  <c r="U104" i="23" s="1"/>
  <c r="X104" i="23"/>
  <c r="AA101" i="23"/>
  <c r="AC101" i="23"/>
  <c r="X101" i="23"/>
  <c r="AB101" i="23"/>
  <c r="AA105" i="23"/>
  <c r="AC105" i="23"/>
  <c r="U105" i="23" s="1"/>
  <c r="X105" i="23"/>
  <c r="AB105" i="23"/>
  <c r="U102" i="23"/>
  <c r="AH104" i="23"/>
  <c r="AH105" i="23"/>
  <c r="AH101" i="23"/>
  <c r="AJ100" i="23"/>
  <c r="AH102" i="23"/>
  <c r="AH99" i="23"/>
  <c r="AH103" i="23"/>
  <c r="AE98" i="23"/>
  <c r="AD98" i="23"/>
  <c r="Y98" i="23" s="1"/>
  <c r="Z98" i="23" s="1"/>
  <c r="S98" i="23"/>
  <c r="P98" i="23"/>
  <c r="AJ98" i="23" s="1"/>
  <c r="O98" i="23"/>
  <c r="N98" i="23"/>
  <c r="G19" i="3"/>
  <c r="G27" i="3"/>
  <c r="G49" i="3"/>
  <c r="G50" i="3"/>
  <c r="G28" i="3"/>
  <c r="G29" i="3"/>
  <c r="G16" i="3"/>
  <c r="G15" i="3"/>
  <c r="G30" i="3"/>
  <c r="G48" i="3"/>
  <c r="G20" i="3"/>
  <c r="AC98" i="23" l="1"/>
  <c r="X98" i="23"/>
  <c r="AB98" i="23"/>
  <c r="AA98" i="23"/>
  <c r="AH98" i="23"/>
  <c r="AE97" i="23"/>
  <c r="AD97" i="23"/>
  <c r="Y97" i="23" s="1"/>
  <c r="Z97" i="23" s="1"/>
  <c r="S97" i="23"/>
  <c r="P97" i="23"/>
  <c r="AJ97" i="23" s="1"/>
  <c r="O97" i="23"/>
  <c r="N97" i="23"/>
  <c r="AE96" i="23"/>
  <c r="AD96" i="23"/>
  <c r="Y96" i="23" s="1"/>
  <c r="Z96" i="23" s="1"/>
  <c r="S96" i="23"/>
  <c r="P96" i="23"/>
  <c r="AJ96" i="23" s="1"/>
  <c r="O96" i="23"/>
  <c r="N96" i="23"/>
  <c r="AB96" i="23" l="1"/>
  <c r="AA96" i="23"/>
  <c r="AC96" i="23"/>
  <c r="X96" i="23"/>
  <c r="AA97" i="23"/>
  <c r="AC97" i="23"/>
  <c r="X97" i="23"/>
  <c r="AB97" i="23"/>
  <c r="AH96" i="23"/>
  <c r="AH97" i="23"/>
  <c r="AE95" i="23"/>
  <c r="AD95" i="23"/>
  <c r="Y95" i="23" s="1"/>
  <c r="Z95" i="23" s="1"/>
  <c r="S95" i="23"/>
  <c r="P95" i="23"/>
  <c r="AJ95" i="23" s="1"/>
  <c r="O95" i="23"/>
  <c r="N95" i="23"/>
  <c r="AC95" i="23" l="1"/>
  <c r="X95" i="23"/>
  <c r="AB95" i="23"/>
  <c r="AA95" i="23"/>
  <c r="U95" i="23"/>
  <c r="AH95" i="23"/>
  <c r="AE94" i="23"/>
  <c r="AD94" i="23"/>
  <c r="Y94" i="23" s="1"/>
  <c r="Z94" i="23" s="1"/>
  <c r="S94" i="23"/>
  <c r="P94" i="23"/>
  <c r="AH94" i="23" s="1"/>
  <c r="O94" i="23"/>
  <c r="N94" i="23"/>
  <c r="AE93" i="23"/>
  <c r="AD93" i="23"/>
  <c r="Y93" i="23" s="1"/>
  <c r="Z93" i="23" s="1"/>
  <c r="S93" i="23"/>
  <c r="P93" i="23"/>
  <c r="AJ93" i="23" s="1"/>
  <c r="O93" i="23"/>
  <c r="N93" i="23"/>
  <c r="AE92" i="23"/>
  <c r="AD92" i="23"/>
  <c r="Y92" i="23" s="1"/>
  <c r="Z92" i="23" s="1"/>
  <c r="S92" i="23"/>
  <c r="P92" i="23"/>
  <c r="AJ92" i="23" s="1"/>
  <c r="O92" i="23"/>
  <c r="N92" i="23"/>
  <c r="AA93" i="23" l="1"/>
  <c r="AC93" i="23"/>
  <c r="U93" i="23" s="1"/>
  <c r="X93" i="23"/>
  <c r="AB93" i="23"/>
  <c r="AB92" i="23"/>
  <c r="AA92" i="23"/>
  <c r="X92" i="23"/>
  <c r="AC92" i="23"/>
  <c r="U92" i="23" s="1"/>
  <c r="AC94" i="23"/>
  <c r="U94" i="23" s="1"/>
  <c r="X94" i="23"/>
  <c r="AB94" i="23"/>
  <c r="AA94" i="23"/>
  <c r="AJ94" i="23"/>
  <c r="AH92" i="23"/>
  <c r="AH93" i="23"/>
  <c r="AE91" i="23"/>
  <c r="AD91" i="23"/>
  <c r="Y91" i="23" s="1"/>
  <c r="Z91" i="23" s="1"/>
  <c r="S91" i="23"/>
  <c r="P91" i="23"/>
  <c r="AJ91" i="23" s="1"/>
  <c r="O91" i="23"/>
  <c r="N91" i="23"/>
  <c r="AE90" i="23"/>
  <c r="AD90" i="23"/>
  <c r="Y90" i="23" s="1"/>
  <c r="Z90" i="23" s="1"/>
  <c r="S90" i="23"/>
  <c r="P90" i="23"/>
  <c r="AJ90" i="23" s="1"/>
  <c r="O90" i="23"/>
  <c r="N90" i="23"/>
  <c r="AE89" i="23"/>
  <c r="AD89" i="23"/>
  <c r="Y89" i="23" s="1"/>
  <c r="Z89" i="23" s="1"/>
  <c r="S89" i="23"/>
  <c r="P89" i="23"/>
  <c r="AJ89" i="23" s="1"/>
  <c r="O89" i="23"/>
  <c r="N89" i="23"/>
  <c r="AC91" i="23" l="1"/>
  <c r="U91" i="23" s="1"/>
  <c r="X91" i="23"/>
  <c r="AB91" i="23"/>
  <c r="AA91" i="23"/>
  <c r="AC90" i="23"/>
  <c r="U90" i="23" s="1"/>
  <c r="X90" i="23"/>
  <c r="AB90" i="23"/>
  <c r="AA90" i="23"/>
  <c r="AA89" i="23"/>
  <c r="AC89" i="23"/>
  <c r="U89" i="23" s="1"/>
  <c r="X89" i="23"/>
  <c r="AB89" i="23"/>
  <c r="AH90" i="23"/>
  <c r="AH91" i="23"/>
  <c r="AH89" i="23"/>
  <c r="AE88" i="23"/>
  <c r="AD88" i="23"/>
  <c r="Y88" i="23" s="1"/>
  <c r="Z88" i="23" s="1"/>
  <c r="S88" i="23"/>
  <c r="P88" i="23"/>
  <c r="AJ88" i="23" s="1"/>
  <c r="O88" i="23"/>
  <c r="N88" i="23"/>
  <c r="AB88" i="23" l="1"/>
  <c r="AA88" i="23"/>
  <c r="AC88" i="23"/>
  <c r="U88" i="23" s="1"/>
  <c r="X88" i="23"/>
  <c r="AH88" i="23"/>
  <c r="S3" i="23"/>
  <c r="S2" i="23"/>
  <c r="F57" i="3" l="1"/>
  <c r="F55" i="3"/>
  <c r="AE87" i="23"/>
  <c r="AD87" i="23"/>
  <c r="Y87" i="23" s="1"/>
  <c r="Z87" i="23" s="1"/>
  <c r="S87" i="23"/>
  <c r="P87" i="23"/>
  <c r="AJ87" i="23" s="1"/>
  <c r="O87" i="23"/>
  <c r="N87" i="23"/>
  <c r="AE86" i="23"/>
  <c r="AD86" i="23"/>
  <c r="Y86" i="23" s="1"/>
  <c r="Z86" i="23" s="1"/>
  <c r="S86" i="23"/>
  <c r="P86" i="23"/>
  <c r="AJ86" i="23" s="1"/>
  <c r="O86" i="23"/>
  <c r="N86" i="23"/>
  <c r="AE85" i="23"/>
  <c r="AD85" i="23"/>
  <c r="Y85" i="23" s="1"/>
  <c r="Z85" i="23" s="1"/>
  <c r="T85" i="23"/>
  <c r="S85" i="23"/>
  <c r="P85" i="23"/>
  <c r="AJ85" i="23" s="1"/>
  <c r="O85" i="23"/>
  <c r="N85" i="23"/>
  <c r="AE84" i="23"/>
  <c r="AD84" i="23"/>
  <c r="Y84" i="23" s="1"/>
  <c r="Z84" i="23" s="1"/>
  <c r="T84" i="23"/>
  <c r="S84" i="23"/>
  <c r="P84" i="23"/>
  <c r="AJ84" i="23" s="1"/>
  <c r="O84" i="23"/>
  <c r="N84" i="23"/>
  <c r="I57" i="3"/>
  <c r="I56" i="3"/>
  <c r="I55" i="3"/>
  <c r="R85" i="23" l="1"/>
  <c r="R84" i="23"/>
  <c r="AA85" i="23"/>
  <c r="AC85" i="23"/>
  <c r="U85" i="23" s="1"/>
  <c r="X85" i="23"/>
  <c r="AB85" i="23"/>
  <c r="AB84" i="23"/>
  <c r="AA84" i="23"/>
  <c r="AC84" i="23"/>
  <c r="U84" i="23" s="1"/>
  <c r="X84" i="23"/>
  <c r="AC86" i="23"/>
  <c r="X86" i="23"/>
  <c r="AB86" i="23"/>
  <c r="AA86" i="23"/>
  <c r="AC87" i="23"/>
  <c r="U87" i="23" s="1"/>
  <c r="X87" i="23"/>
  <c r="AB87" i="23"/>
  <c r="AA87" i="23"/>
  <c r="AH85" i="23"/>
  <c r="AH87" i="23"/>
  <c r="AH84" i="23"/>
  <c r="AH86" i="23"/>
  <c r="F53" i="3"/>
  <c r="F52" i="3"/>
  <c r="AE83" i="23"/>
  <c r="AD83" i="23"/>
  <c r="Y83" i="23" s="1"/>
  <c r="Z83" i="23" s="1"/>
  <c r="S83" i="23"/>
  <c r="P83" i="23"/>
  <c r="AJ83" i="23" s="1"/>
  <c r="O83" i="23"/>
  <c r="N83" i="23"/>
  <c r="AE82" i="23"/>
  <c r="AD82" i="23"/>
  <c r="Y82" i="23" s="1"/>
  <c r="Z82" i="23" s="1"/>
  <c r="S82" i="23"/>
  <c r="P82" i="23"/>
  <c r="AJ82" i="23" s="1"/>
  <c r="O82" i="23"/>
  <c r="N82" i="23"/>
  <c r="I53" i="3"/>
  <c r="I54" i="3"/>
  <c r="I52" i="3"/>
  <c r="AC83" i="23" l="1"/>
  <c r="X83" i="23"/>
  <c r="AB83" i="23"/>
  <c r="AA83" i="23"/>
  <c r="AC82" i="23"/>
  <c r="X82" i="23"/>
  <c r="AB82" i="23"/>
  <c r="AA82" i="23"/>
  <c r="AH82" i="23"/>
  <c r="AH83" i="23"/>
  <c r="F51" i="3"/>
  <c r="F50" i="3"/>
  <c r="F49" i="3"/>
  <c r="F48" i="3"/>
  <c r="F47" i="3"/>
  <c r="F46" i="3"/>
  <c r="F45" i="3"/>
  <c r="F44" i="3"/>
  <c r="F43" i="3"/>
  <c r="F42" i="3"/>
  <c r="F41" i="3"/>
  <c r="AE81" i="23"/>
  <c r="AD81" i="23"/>
  <c r="Y81" i="23" s="1"/>
  <c r="Z81" i="23" s="1"/>
  <c r="S81" i="23"/>
  <c r="P81" i="23"/>
  <c r="AJ81" i="23" s="1"/>
  <c r="O81" i="23"/>
  <c r="N81" i="23"/>
  <c r="AE80" i="23"/>
  <c r="AD80" i="23"/>
  <c r="Y80" i="23" s="1"/>
  <c r="Z80" i="23" s="1"/>
  <c r="S80" i="23"/>
  <c r="P80" i="23"/>
  <c r="AJ80" i="23" s="1"/>
  <c r="O80" i="23"/>
  <c r="N80" i="23"/>
  <c r="AE79" i="23"/>
  <c r="AD79" i="23"/>
  <c r="Y79" i="23" s="1"/>
  <c r="Z79" i="23" s="1"/>
  <c r="S79" i="23"/>
  <c r="P79" i="23"/>
  <c r="AJ79" i="23" s="1"/>
  <c r="O79" i="23"/>
  <c r="N79" i="23"/>
  <c r="AE78" i="23"/>
  <c r="AD78" i="23"/>
  <c r="Y78" i="23" s="1"/>
  <c r="Z78" i="23" s="1"/>
  <c r="S78" i="23"/>
  <c r="P78" i="23"/>
  <c r="AJ78" i="23" s="1"/>
  <c r="O78" i="23"/>
  <c r="N78" i="23"/>
  <c r="AE77" i="23"/>
  <c r="AD77" i="23"/>
  <c r="Y77" i="23" s="1"/>
  <c r="Z77" i="23" s="1"/>
  <c r="S77" i="23"/>
  <c r="P77" i="23"/>
  <c r="AH77" i="23" s="1"/>
  <c r="O77" i="23"/>
  <c r="N77" i="23"/>
  <c r="I46" i="3"/>
  <c r="I45" i="3"/>
  <c r="I47" i="3"/>
  <c r="I51" i="3"/>
  <c r="I41" i="3"/>
  <c r="I43" i="3"/>
  <c r="I49" i="3"/>
  <c r="I44" i="3"/>
  <c r="I50" i="3"/>
  <c r="I42" i="3"/>
  <c r="I48" i="3"/>
  <c r="AB80" i="23" l="1"/>
  <c r="AA80" i="23"/>
  <c r="X80" i="23"/>
  <c r="AC80" i="23"/>
  <c r="AC78" i="23"/>
  <c r="X78" i="23"/>
  <c r="AB78" i="23"/>
  <c r="AA78" i="23"/>
  <c r="AA77" i="23"/>
  <c r="AC77" i="23"/>
  <c r="U77" i="23" s="1"/>
  <c r="X77" i="23"/>
  <c r="AB77" i="23"/>
  <c r="AC79" i="23"/>
  <c r="X79" i="23"/>
  <c r="AB79" i="23"/>
  <c r="AA79" i="23"/>
  <c r="AA81" i="23"/>
  <c r="AC81" i="23"/>
  <c r="U81" i="23" s="1"/>
  <c r="X81" i="23"/>
  <c r="AB81" i="23"/>
  <c r="AH80" i="23"/>
  <c r="AH81" i="23"/>
  <c r="AJ77" i="23"/>
  <c r="AH79" i="23"/>
  <c r="AH78" i="23"/>
  <c r="AE76" i="23"/>
  <c r="AD76" i="23"/>
  <c r="Y76" i="23" s="1"/>
  <c r="Z76" i="23" s="1"/>
  <c r="S76" i="23"/>
  <c r="P76" i="23"/>
  <c r="AJ76" i="23" s="1"/>
  <c r="O76" i="23"/>
  <c r="N76" i="23"/>
  <c r="AE75" i="23"/>
  <c r="AD75" i="23"/>
  <c r="Y75" i="23" s="1"/>
  <c r="Z75" i="23" s="1"/>
  <c r="S75" i="23"/>
  <c r="P75" i="23"/>
  <c r="AJ75" i="23" s="1"/>
  <c r="O75" i="23"/>
  <c r="N75" i="23"/>
  <c r="AE74" i="23"/>
  <c r="AD74" i="23"/>
  <c r="Y74" i="23" s="1"/>
  <c r="Z74" i="23" s="1"/>
  <c r="S74" i="23"/>
  <c r="P74" i="23"/>
  <c r="AJ74" i="23" s="1"/>
  <c r="O74" i="23"/>
  <c r="N74" i="23"/>
  <c r="AE73" i="23"/>
  <c r="AD73" i="23"/>
  <c r="Y73" i="23" s="1"/>
  <c r="Z73" i="23" s="1"/>
  <c r="S73" i="23"/>
  <c r="P73" i="23"/>
  <c r="AJ73" i="23" s="1"/>
  <c r="O73" i="23"/>
  <c r="N73" i="23"/>
  <c r="AE72" i="23"/>
  <c r="AD72" i="23"/>
  <c r="Y72" i="23" s="1"/>
  <c r="Z72" i="23" s="1"/>
  <c r="S72" i="23"/>
  <c r="P72" i="23"/>
  <c r="AJ72" i="23" s="1"/>
  <c r="O72" i="23"/>
  <c r="N72" i="23"/>
  <c r="AE71" i="23"/>
  <c r="AD71" i="23"/>
  <c r="Y71" i="23" s="1"/>
  <c r="Z71" i="23" s="1"/>
  <c r="S71" i="23"/>
  <c r="P71" i="23"/>
  <c r="AJ71" i="23" s="1"/>
  <c r="O71" i="23"/>
  <c r="N71" i="23"/>
  <c r="AE70" i="23"/>
  <c r="AD70" i="23"/>
  <c r="Y70" i="23" s="1"/>
  <c r="Z70" i="23" s="1"/>
  <c r="S70" i="23"/>
  <c r="P70" i="23"/>
  <c r="AJ70" i="23" s="1"/>
  <c r="O70" i="23"/>
  <c r="N70" i="23"/>
  <c r="AE69" i="23"/>
  <c r="AD69" i="23"/>
  <c r="Y69" i="23" s="1"/>
  <c r="Z69" i="23" s="1"/>
  <c r="S69" i="23"/>
  <c r="P69" i="23"/>
  <c r="AJ69" i="23" s="1"/>
  <c r="O69" i="23"/>
  <c r="N69" i="23"/>
  <c r="AE68" i="23"/>
  <c r="AD68" i="23"/>
  <c r="Y68" i="23" s="1"/>
  <c r="Z68" i="23" s="1"/>
  <c r="S68" i="23"/>
  <c r="P68" i="23"/>
  <c r="AJ68" i="23" s="1"/>
  <c r="O68" i="23"/>
  <c r="N68" i="23"/>
  <c r="AE67" i="23"/>
  <c r="AD67" i="23"/>
  <c r="Y67" i="23" s="1"/>
  <c r="Z67" i="23" s="1"/>
  <c r="S67" i="23"/>
  <c r="P67" i="23"/>
  <c r="AJ67" i="23" s="1"/>
  <c r="O67" i="23"/>
  <c r="N67" i="23"/>
  <c r="AC71" i="23" l="1"/>
  <c r="X71" i="23"/>
  <c r="AB71" i="23"/>
  <c r="AA71" i="23"/>
  <c r="AA73" i="23"/>
  <c r="AC73" i="23"/>
  <c r="X73" i="23"/>
  <c r="AB73" i="23"/>
  <c r="AC75" i="23"/>
  <c r="X75" i="23"/>
  <c r="AB75" i="23"/>
  <c r="AA75" i="23"/>
  <c r="AB68" i="23"/>
  <c r="AA68" i="23"/>
  <c r="AC68" i="23"/>
  <c r="U68" i="23" s="1"/>
  <c r="X68" i="23"/>
  <c r="AB72" i="23"/>
  <c r="AA72" i="23"/>
  <c r="AC72" i="23"/>
  <c r="X72" i="23"/>
  <c r="AC74" i="23"/>
  <c r="X74" i="23"/>
  <c r="AB74" i="23"/>
  <c r="AA74" i="23"/>
  <c r="AB76" i="23"/>
  <c r="AA76" i="23"/>
  <c r="X76" i="23"/>
  <c r="AC76" i="23"/>
  <c r="AC67" i="23"/>
  <c r="X67" i="23"/>
  <c r="AB67" i="23"/>
  <c r="AA67" i="23"/>
  <c r="AA69" i="23"/>
  <c r="AC69" i="23"/>
  <c r="U69" i="23" s="1"/>
  <c r="X69" i="23"/>
  <c r="AB69" i="23"/>
  <c r="AC70" i="23"/>
  <c r="X70" i="23"/>
  <c r="AB70" i="23"/>
  <c r="AA70" i="23"/>
  <c r="AH73" i="23"/>
  <c r="AH74" i="23"/>
  <c r="AH75" i="23"/>
  <c r="AH76" i="23"/>
  <c r="AH70" i="23"/>
  <c r="AH71" i="23"/>
  <c r="AH72" i="23"/>
  <c r="AH69" i="23"/>
  <c r="AH68" i="23"/>
  <c r="AH67" i="23"/>
  <c r="F40" i="3"/>
  <c r="F39" i="3"/>
  <c r="F38" i="3"/>
  <c r="F37" i="3"/>
  <c r="AE66" i="23"/>
  <c r="AD66" i="23"/>
  <c r="Y66" i="23" s="1"/>
  <c r="Z66" i="23" s="1"/>
  <c r="S66" i="23"/>
  <c r="P66" i="23"/>
  <c r="AJ66" i="23" s="1"/>
  <c r="O66" i="23"/>
  <c r="N66" i="23"/>
  <c r="AE65" i="23"/>
  <c r="AD65" i="23"/>
  <c r="Y65" i="23" s="1"/>
  <c r="Z65" i="23" s="1"/>
  <c r="S65" i="23"/>
  <c r="P65" i="23"/>
  <c r="AH65" i="23" s="1"/>
  <c r="O65" i="23"/>
  <c r="N65" i="23"/>
  <c r="AE64" i="23"/>
  <c r="AD64" i="23"/>
  <c r="Y64" i="23" s="1"/>
  <c r="Z64" i="23" s="1"/>
  <c r="S64" i="23"/>
  <c r="P64" i="23"/>
  <c r="AJ64" i="23" s="1"/>
  <c r="O64" i="23"/>
  <c r="N64" i="23"/>
  <c r="AE63" i="23"/>
  <c r="AD63" i="23"/>
  <c r="Y63" i="23" s="1"/>
  <c r="Z63" i="23" s="1"/>
  <c r="S63" i="23"/>
  <c r="P63" i="23"/>
  <c r="AH63" i="23" s="1"/>
  <c r="O63" i="23"/>
  <c r="N63" i="23"/>
  <c r="I40" i="3"/>
  <c r="I37" i="3"/>
  <c r="I38" i="3"/>
  <c r="I39" i="3"/>
  <c r="AC63" i="23" l="1"/>
  <c r="X63" i="23"/>
  <c r="AB63" i="23"/>
  <c r="AA63" i="23"/>
  <c r="AB64" i="23"/>
  <c r="AA64" i="23"/>
  <c r="AC64" i="23"/>
  <c r="U64" i="23" s="1"/>
  <c r="X64" i="23"/>
  <c r="AC66" i="23"/>
  <c r="X66" i="23"/>
  <c r="AB66" i="23"/>
  <c r="AA66" i="23"/>
  <c r="AA65" i="23"/>
  <c r="AC65" i="23"/>
  <c r="U65" i="23" s="1"/>
  <c r="X65" i="23"/>
  <c r="AB65" i="23"/>
  <c r="U63" i="23"/>
  <c r="AJ65" i="23"/>
  <c r="AJ63" i="23"/>
  <c r="AH66" i="23"/>
  <c r="AH64" i="23"/>
  <c r="AE62" i="23"/>
  <c r="AD62" i="23"/>
  <c r="Y62" i="23" s="1"/>
  <c r="Z62" i="23" s="1"/>
  <c r="S62" i="23"/>
  <c r="P62" i="23"/>
  <c r="AJ62" i="23" s="1"/>
  <c r="O62" i="23"/>
  <c r="N62" i="23"/>
  <c r="AE61" i="23"/>
  <c r="AD61" i="23"/>
  <c r="Y61" i="23" s="1"/>
  <c r="Z61" i="23" s="1"/>
  <c r="S61" i="23"/>
  <c r="P61" i="23"/>
  <c r="AJ61" i="23" s="1"/>
  <c r="O61" i="23"/>
  <c r="N61" i="23"/>
  <c r="AE60" i="23"/>
  <c r="AD60" i="23"/>
  <c r="Y60" i="23" s="1"/>
  <c r="Z60" i="23" s="1"/>
  <c r="S60" i="23"/>
  <c r="P60" i="23"/>
  <c r="AJ60" i="23" s="1"/>
  <c r="O60" i="23"/>
  <c r="N60" i="23"/>
  <c r="AE59" i="23"/>
  <c r="AD59" i="23"/>
  <c r="Y59" i="23" s="1"/>
  <c r="Z59" i="23" s="1"/>
  <c r="S59" i="23"/>
  <c r="P59" i="23"/>
  <c r="AH59" i="23" s="1"/>
  <c r="O59" i="23"/>
  <c r="N59" i="23"/>
  <c r="AE58" i="23"/>
  <c r="AD58" i="23"/>
  <c r="Y58" i="23" s="1"/>
  <c r="Z58" i="23" s="1"/>
  <c r="S58" i="23"/>
  <c r="P58" i="23"/>
  <c r="AH58" i="23" s="1"/>
  <c r="O58" i="23"/>
  <c r="N58" i="23"/>
  <c r="AE57" i="23"/>
  <c r="AD57" i="23"/>
  <c r="Y57" i="23" s="1"/>
  <c r="Z57" i="23" s="1"/>
  <c r="S57" i="23"/>
  <c r="P57" i="23"/>
  <c r="AJ57" i="23" s="1"/>
  <c r="O57" i="23"/>
  <c r="N57" i="23"/>
  <c r="AE56" i="23"/>
  <c r="AD56" i="23"/>
  <c r="Y56" i="23" s="1"/>
  <c r="Z56" i="23" s="1"/>
  <c r="S56" i="23"/>
  <c r="P56" i="23"/>
  <c r="AJ56" i="23" s="1"/>
  <c r="O56" i="23"/>
  <c r="N56" i="23"/>
  <c r="AC59" i="23" l="1"/>
  <c r="X59" i="23"/>
  <c r="AB59" i="23"/>
  <c r="AA59" i="23"/>
  <c r="AA61" i="23"/>
  <c r="AC61" i="23"/>
  <c r="X61" i="23"/>
  <c r="AB61" i="23"/>
  <c r="AA57" i="23"/>
  <c r="AC57" i="23"/>
  <c r="X57" i="23"/>
  <c r="AB57" i="23"/>
  <c r="AB56" i="23"/>
  <c r="AA56" i="23"/>
  <c r="AC56" i="23"/>
  <c r="U56" i="23" s="1"/>
  <c r="X56" i="23"/>
  <c r="AC58" i="23"/>
  <c r="X58" i="23"/>
  <c r="AB58" i="23"/>
  <c r="AA58" i="23"/>
  <c r="AB60" i="23"/>
  <c r="AA60" i="23"/>
  <c r="X60" i="23"/>
  <c r="AC60" i="23"/>
  <c r="U60" i="23" s="1"/>
  <c r="AC62" i="23"/>
  <c r="U62" i="23" s="1"/>
  <c r="X62" i="23"/>
  <c r="AB62" i="23"/>
  <c r="AA62" i="23"/>
  <c r="U58" i="23"/>
  <c r="AH62" i="23"/>
  <c r="AJ58" i="23"/>
  <c r="AH60" i="23"/>
  <c r="AH61" i="23"/>
  <c r="AJ59" i="23"/>
  <c r="AH57" i="23"/>
  <c r="AH56" i="23"/>
  <c r="AE55" i="23"/>
  <c r="AD55" i="23"/>
  <c r="Y55" i="23" s="1"/>
  <c r="Z55" i="23" s="1"/>
  <c r="S55" i="23"/>
  <c r="P55" i="23"/>
  <c r="AJ55" i="23" s="1"/>
  <c r="O55" i="23"/>
  <c r="N55" i="23"/>
  <c r="AE54" i="23"/>
  <c r="AD54" i="23"/>
  <c r="Y54" i="23" s="1"/>
  <c r="Z54" i="23" s="1"/>
  <c r="S54" i="23"/>
  <c r="P54" i="23"/>
  <c r="AJ54" i="23" s="1"/>
  <c r="O54" i="23"/>
  <c r="N54" i="23"/>
  <c r="AE53" i="23"/>
  <c r="AD53" i="23"/>
  <c r="Y53" i="23" s="1"/>
  <c r="Z53" i="23" s="1"/>
  <c r="S53" i="23"/>
  <c r="P53" i="23"/>
  <c r="AJ53" i="23" s="1"/>
  <c r="O53" i="23"/>
  <c r="N53" i="23"/>
  <c r="AE52" i="23"/>
  <c r="AD52" i="23"/>
  <c r="Y52" i="23" s="1"/>
  <c r="Z52" i="23" s="1"/>
  <c r="S52" i="23"/>
  <c r="P52" i="23"/>
  <c r="AH52" i="23" s="1"/>
  <c r="O52" i="23"/>
  <c r="N52" i="23"/>
  <c r="AE51" i="23"/>
  <c r="AD51" i="23"/>
  <c r="Y51" i="23" s="1"/>
  <c r="Z51" i="23" s="1"/>
  <c r="S51" i="23"/>
  <c r="P51" i="23"/>
  <c r="AJ51" i="23" s="1"/>
  <c r="O51" i="23"/>
  <c r="N51" i="23"/>
  <c r="AE50" i="23"/>
  <c r="AD50" i="23"/>
  <c r="Y50" i="23" s="1"/>
  <c r="Z50" i="23" s="1"/>
  <c r="S50" i="23"/>
  <c r="P50" i="23"/>
  <c r="AJ50" i="23" s="1"/>
  <c r="O50" i="23"/>
  <c r="N50" i="23"/>
  <c r="AC51" i="23" l="1"/>
  <c r="X51" i="23"/>
  <c r="AB51" i="23"/>
  <c r="AA51" i="23"/>
  <c r="AA53" i="23"/>
  <c r="AC53" i="23"/>
  <c r="X53" i="23"/>
  <c r="AB53" i="23"/>
  <c r="AC55" i="23"/>
  <c r="X55" i="23"/>
  <c r="AB55" i="23"/>
  <c r="AA55" i="23"/>
  <c r="AC50" i="23"/>
  <c r="X50" i="23"/>
  <c r="AB50" i="23"/>
  <c r="AA50" i="23"/>
  <c r="AB52" i="23"/>
  <c r="AA52" i="23"/>
  <c r="AC52" i="23"/>
  <c r="X52" i="23"/>
  <c r="AC54" i="23"/>
  <c r="U54" i="23" s="1"/>
  <c r="X54" i="23"/>
  <c r="AB54" i="23"/>
  <c r="AA54" i="23"/>
  <c r="U51" i="23"/>
  <c r="AJ52" i="23"/>
  <c r="AH55" i="23"/>
  <c r="AH54" i="23"/>
  <c r="AH53" i="23"/>
  <c r="AH51" i="23"/>
  <c r="AH50" i="23"/>
  <c r="AE49" i="23"/>
  <c r="AD49" i="23"/>
  <c r="Y49" i="23" s="1"/>
  <c r="Z49" i="23" s="1"/>
  <c r="S49" i="23"/>
  <c r="P49" i="23"/>
  <c r="AJ49" i="23" s="1"/>
  <c r="O49" i="23"/>
  <c r="N49" i="23"/>
  <c r="AE48" i="23"/>
  <c r="AD48" i="23"/>
  <c r="Y48" i="23" s="1"/>
  <c r="Z48" i="23" s="1"/>
  <c r="S48" i="23"/>
  <c r="P48" i="23"/>
  <c r="AH48" i="23" s="1"/>
  <c r="O48" i="23"/>
  <c r="N48" i="23"/>
  <c r="AE47" i="23"/>
  <c r="AD47" i="23"/>
  <c r="Y47" i="23" s="1"/>
  <c r="Z47" i="23" s="1"/>
  <c r="S47" i="23"/>
  <c r="P47" i="23"/>
  <c r="AJ47" i="23" s="1"/>
  <c r="O47" i="23"/>
  <c r="N47" i="23"/>
  <c r="AE46" i="23"/>
  <c r="AD46" i="23"/>
  <c r="Y46" i="23" s="1"/>
  <c r="Z46" i="23" s="1"/>
  <c r="S46" i="23"/>
  <c r="P46" i="23"/>
  <c r="AJ46" i="23" s="1"/>
  <c r="O46" i="23"/>
  <c r="N46" i="23"/>
  <c r="AE45" i="23"/>
  <c r="AD45" i="23"/>
  <c r="Y45" i="23" s="1"/>
  <c r="Z45" i="23" s="1"/>
  <c r="S45" i="23"/>
  <c r="P45" i="23"/>
  <c r="AJ45" i="23" s="1"/>
  <c r="O45" i="23"/>
  <c r="N45" i="23"/>
  <c r="AE44" i="23"/>
  <c r="AD44" i="23"/>
  <c r="Y44" i="23" s="1"/>
  <c r="Z44" i="23" s="1"/>
  <c r="S44" i="23"/>
  <c r="P44" i="23"/>
  <c r="AJ44" i="23" s="1"/>
  <c r="O44" i="23"/>
  <c r="N44" i="23"/>
  <c r="AA45" i="23" l="1"/>
  <c r="AC45" i="23"/>
  <c r="AB45" i="23"/>
  <c r="X45" i="23"/>
  <c r="AC47" i="23"/>
  <c r="X47" i="23"/>
  <c r="AB47" i="23"/>
  <c r="AA47" i="23"/>
  <c r="AA49" i="23"/>
  <c r="AC49" i="23"/>
  <c r="U49" i="23" s="1"/>
  <c r="X49" i="23"/>
  <c r="AB49" i="23"/>
  <c r="AB44" i="23"/>
  <c r="AA44" i="23"/>
  <c r="AC44" i="23"/>
  <c r="U44" i="23" s="1"/>
  <c r="X44" i="23"/>
  <c r="AC46" i="23"/>
  <c r="X46" i="23"/>
  <c r="AB46" i="23"/>
  <c r="AA46" i="23"/>
  <c r="AB48" i="23"/>
  <c r="AA48" i="23"/>
  <c r="X48" i="23"/>
  <c r="AC48" i="23"/>
  <c r="AJ48" i="23"/>
  <c r="AH49" i="23"/>
  <c r="AH47" i="23"/>
  <c r="AH45" i="23"/>
  <c r="AH46" i="23"/>
  <c r="AH44" i="23"/>
  <c r="B2" i="23"/>
  <c r="L387" i="23" s="1"/>
  <c r="AE43" i="23"/>
  <c r="AD43" i="23"/>
  <c r="Y43" i="23" s="1"/>
  <c r="Z43" i="23" s="1"/>
  <c r="S43" i="23"/>
  <c r="O43" i="23"/>
  <c r="N43" i="23"/>
  <c r="P43" i="23"/>
  <c r="AE42" i="23"/>
  <c r="AD42" i="23"/>
  <c r="Y42" i="23" s="1"/>
  <c r="Z42" i="23" s="1"/>
  <c r="S42" i="23"/>
  <c r="O42" i="23"/>
  <c r="N42" i="23"/>
  <c r="AE41" i="23"/>
  <c r="AD41" i="23"/>
  <c r="Y41" i="23" s="1"/>
  <c r="Z41" i="23" s="1"/>
  <c r="S41" i="23"/>
  <c r="O41" i="23"/>
  <c r="N41" i="23"/>
  <c r="AE40" i="23"/>
  <c r="AD40" i="23"/>
  <c r="Y40" i="23" s="1"/>
  <c r="Z40" i="23" s="1"/>
  <c r="S40" i="23"/>
  <c r="O40" i="23"/>
  <c r="N40" i="23"/>
  <c r="AE39" i="23"/>
  <c r="AD39" i="23"/>
  <c r="Y39" i="23" s="1"/>
  <c r="Z39" i="23" s="1"/>
  <c r="S39" i="23"/>
  <c r="O39" i="23"/>
  <c r="N39" i="23"/>
  <c r="AE38" i="23"/>
  <c r="AD38" i="23"/>
  <c r="Y38" i="23" s="1"/>
  <c r="Z38" i="23" s="1"/>
  <c r="S38" i="23"/>
  <c r="O38" i="23"/>
  <c r="N38" i="23"/>
  <c r="L433" i="23" l="1"/>
  <c r="L434" i="23"/>
  <c r="L432" i="23"/>
  <c r="L430" i="23"/>
  <c r="L431" i="23"/>
  <c r="L428" i="23"/>
  <c r="L429" i="23"/>
  <c r="L426" i="23"/>
  <c r="L427" i="23"/>
  <c r="L425" i="23"/>
  <c r="L424" i="23"/>
  <c r="L423" i="23"/>
  <c r="L422" i="23"/>
  <c r="AA41" i="23"/>
  <c r="AC41" i="23"/>
  <c r="X41" i="23"/>
  <c r="AB41" i="23"/>
  <c r="AC39" i="23"/>
  <c r="X39" i="23"/>
  <c r="AB39" i="23"/>
  <c r="AA39" i="23"/>
  <c r="AA38" i="23"/>
  <c r="AC38" i="23"/>
  <c r="X38" i="23"/>
  <c r="AB38" i="23"/>
  <c r="AC42" i="23"/>
  <c r="X42" i="23"/>
  <c r="AA42" i="23"/>
  <c r="AB42" i="23"/>
  <c r="AB40" i="23"/>
  <c r="AC40" i="23"/>
  <c r="AA40" i="23"/>
  <c r="X40" i="23"/>
  <c r="AC43" i="23"/>
  <c r="X43" i="23"/>
  <c r="AB43" i="23"/>
  <c r="AA43" i="23"/>
  <c r="L420" i="23"/>
  <c r="L418" i="23"/>
  <c r="L416" i="23"/>
  <c r="L414" i="23"/>
  <c r="L412" i="23"/>
  <c r="L410" i="23"/>
  <c r="L408" i="23"/>
  <c r="L406" i="23"/>
  <c r="L404" i="23"/>
  <c r="L421" i="23"/>
  <c r="L419" i="23"/>
  <c r="L417" i="23"/>
  <c r="L415" i="23"/>
  <c r="L413" i="23"/>
  <c r="L411" i="23"/>
  <c r="L409" i="23"/>
  <c r="L407" i="23"/>
  <c r="L405" i="23"/>
  <c r="L403" i="23"/>
  <c r="L396" i="23"/>
  <c r="L401" i="23"/>
  <c r="L399" i="23"/>
  <c r="L397" i="23"/>
  <c r="L402" i="23"/>
  <c r="L400" i="23"/>
  <c r="L398" i="23"/>
  <c r="L394" i="23"/>
  <c r="L392" i="23"/>
  <c r="L395" i="23"/>
  <c r="L393" i="23"/>
  <c r="L391" i="23"/>
  <c r="L389" i="23"/>
  <c r="L385" i="23"/>
  <c r="L383" i="23"/>
  <c r="L381" i="23"/>
  <c r="L386" i="23"/>
  <c r="L384" i="23"/>
  <c r="L390" i="23"/>
  <c r="L388" i="23"/>
  <c r="L382" i="23"/>
  <c r="L314" i="23"/>
  <c r="L380" i="23"/>
  <c r="L378" i="23"/>
  <c r="L376" i="23"/>
  <c r="L374" i="23"/>
  <c r="L372" i="23"/>
  <c r="L370" i="23"/>
  <c r="L368" i="23"/>
  <c r="L366" i="23"/>
  <c r="L364" i="23"/>
  <c r="L362" i="23"/>
  <c r="L360" i="23"/>
  <c r="L358" i="23"/>
  <c r="L356" i="23"/>
  <c r="L354" i="23"/>
  <c r="L379" i="23"/>
  <c r="L377" i="23"/>
  <c r="L375" i="23"/>
  <c r="L373" i="23"/>
  <c r="L371" i="23"/>
  <c r="L369" i="23"/>
  <c r="L367" i="23"/>
  <c r="L365" i="23"/>
  <c r="L363" i="23"/>
  <c r="L361" i="23"/>
  <c r="L359" i="23"/>
  <c r="L357" i="23"/>
  <c r="L355" i="23"/>
  <c r="L353" i="23"/>
  <c r="L344" i="23"/>
  <c r="L352" i="23"/>
  <c r="L350" i="23"/>
  <c r="L348" i="23"/>
  <c r="L346" i="23"/>
  <c r="L351" i="23"/>
  <c r="L349" i="23"/>
  <c r="L347" i="23"/>
  <c r="L345" i="23"/>
  <c r="L343" i="23"/>
  <c r="L342" i="23"/>
  <c r="L341" i="23"/>
  <c r="L339" i="23"/>
  <c r="L340" i="23"/>
  <c r="L337" i="23"/>
  <c r="L338" i="23"/>
  <c r="L334" i="23"/>
  <c r="L335" i="23"/>
  <c r="L336" i="23"/>
  <c r="L333" i="23"/>
  <c r="L322" i="23"/>
  <c r="L332" i="23"/>
  <c r="L331" i="23"/>
  <c r="L330" i="23"/>
  <c r="L329" i="23"/>
  <c r="L327" i="23"/>
  <c r="L328" i="23"/>
  <c r="L326" i="23"/>
  <c r="L324" i="23"/>
  <c r="L323" i="23"/>
  <c r="L325" i="23"/>
  <c r="L321" i="23"/>
  <c r="L319" i="23"/>
  <c r="L320" i="23"/>
  <c r="L318" i="23"/>
  <c r="L317" i="23"/>
  <c r="L315" i="23"/>
  <c r="L313" i="23"/>
  <c r="L312" i="23"/>
  <c r="L316" i="23"/>
  <c r="L311" i="23"/>
  <c r="L309" i="23"/>
  <c r="L307" i="23"/>
  <c r="L305" i="23"/>
  <c r="L301" i="23"/>
  <c r="L299" i="23"/>
  <c r="L310" i="23"/>
  <c r="L308" i="23"/>
  <c r="L306" i="23"/>
  <c r="L304" i="23"/>
  <c r="L302" i="23"/>
  <c r="L300" i="23"/>
  <c r="L303" i="23"/>
  <c r="L292" i="23"/>
  <c r="L297" i="23"/>
  <c r="L295" i="23"/>
  <c r="L293" i="23"/>
  <c r="L298" i="23"/>
  <c r="L296" i="23"/>
  <c r="L294" i="23"/>
  <c r="L288" i="23"/>
  <c r="L291" i="23"/>
  <c r="L289" i="23"/>
  <c r="L290" i="23"/>
  <c r="L286" i="23"/>
  <c r="L287" i="23"/>
  <c r="L285" i="23"/>
  <c r="L284" i="23"/>
  <c r="L282" i="23"/>
  <c r="L283" i="23"/>
  <c r="L281" i="23"/>
  <c r="L280" i="23"/>
  <c r="L278" i="23"/>
  <c r="L279" i="23"/>
  <c r="L277" i="23"/>
  <c r="L275" i="23"/>
  <c r="L276" i="23"/>
  <c r="L274" i="23"/>
  <c r="L273" i="23"/>
  <c r="L272" i="23"/>
  <c r="L271" i="23"/>
  <c r="L268" i="23"/>
  <c r="L270" i="23"/>
  <c r="L269" i="23"/>
  <c r="L267" i="23"/>
  <c r="L265" i="23"/>
  <c r="L263" i="23"/>
  <c r="L264" i="23"/>
  <c r="L266" i="23"/>
  <c r="L262" i="23"/>
  <c r="L261" i="23"/>
  <c r="L259" i="23"/>
  <c r="L257" i="23"/>
  <c r="L255" i="23"/>
  <c r="L253" i="23"/>
  <c r="L251" i="23"/>
  <c r="L260" i="23"/>
  <c r="L258" i="23"/>
  <c r="L256" i="23"/>
  <c r="L254" i="23"/>
  <c r="L252" i="23"/>
  <c r="L250" i="23"/>
  <c r="L231" i="23"/>
  <c r="L185" i="23"/>
  <c r="L248" i="23"/>
  <c r="L249" i="23"/>
  <c r="L244" i="23"/>
  <c r="L246" i="23"/>
  <c r="L247" i="23"/>
  <c r="L245" i="23"/>
  <c r="L243" i="23"/>
  <c r="L241" i="23"/>
  <c r="L242" i="23"/>
  <c r="L240" i="23"/>
  <c r="L239" i="23"/>
  <c r="L238" i="23"/>
  <c r="L237" i="23"/>
  <c r="L235" i="23"/>
  <c r="L236" i="23"/>
  <c r="L234" i="23"/>
  <c r="L233" i="23"/>
  <c r="L230" i="23"/>
  <c r="L232" i="23"/>
  <c r="L229" i="23"/>
  <c r="L227" i="23"/>
  <c r="L225" i="23"/>
  <c r="L226" i="23"/>
  <c r="L228" i="23"/>
  <c r="L224" i="23"/>
  <c r="L223" i="23"/>
  <c r="L222" i="23"/>
  <c r="L221" i="23"/>
  <c r="L218" i="23"/>
  <c r="L220" i="23"/>
  <c r="L219" i="23"/>
  <c r="L216" i="23"/>
  <c r="L217" i="23"/>
  <c r="L212" i="23"/>
  <c r="L215" i="23"/>
  <c r="L213" i="23"/>
  <c r="L214" i="23"/>
  <c r="L209" i="23"/>
  <c r="L210" i="23"/>
  <c r="L211" i="23"/>
  <c r="L206" i="23"/>
  <c r="L208" i="23"/>
  <c r="L207" i="23"/>
  <c r="L204" i="23"/>
  <c r="L205" i="23"/>
  <c r="L202" i="23"/>
  <c r="L203" i="23"/>
  <c r="L201" i="23"/>
  <c r="L199" i="23"/>
  <c r="L200" i="23"/>
  <c r="L196" i="23"/>
  <c r="L198" i="23"/>
  <c r="L197" i="23"/>
  <c r="L192" i="23"/>
  <c r="L195" i="23"/>
  <c r="L193" i="23"/>
  <c r="L194" i="23"/>
  <c r="L190" i="23"/>
  <c r="L191" i="23"/>
  <c r="L188" i="23"/>
  <c r="L189" i="23"/>
  <c r="L186" i="23"/>
  <c r="L187" i="23"/>
  <c r="L183" i="23"/>
  <c r="L181" i="23"/>
  <c r="L184" i="23"/>
  <c r="L182" i="23"/>
  <c r="L180" i="23"/>
  <c r="L179" i="23"/>
  <c r="L178" i="23"/>
  <c r="L177" i="23"/>
  <c r="L174" i="23"/>
  <c r="L176" i="23"/>
  <c r="L175" i="23"/>
  <c r="L172" i="23"/>
  <c r="L173" i="23"/>
  <c r="L171" i="23"/>
  <c r="L170" i="23"/>
  <c r="L168" i="23"/>
  <c r="L169" i="23"/>
  <c r="L166" i="23"/>
  <c r="L167" i="23"/>
  <c r="L164" i="23"/>
  <c r="L165" i="23"/>
  <c r="L161" i="23"/>
  <c r="L163" i="23"/>
  <c r="L162" i="23"/>
  <c r="L159" i="23"/>
  <c r="L160" i="23"/>
  <c r="L157" i="23"/>
  <c r="L158" i="23"/>
  <c r="L155" i="23"/>
  <c r="L156" i="23"/>
  <c r="L8" i="23"/>
  <c r="L154" i="23"/>
  <c r="D6" i="23"/>
  <c r="L153" i="23"/>
  <c r="L149" i="23"/>
  <c r="L145" i="23"/>
  <c r="L141" i="23"/>
  <c r="L137" i="23"/>
  <c r="L133" i="23"/>
  <c r="L129" i="23"/>
  <c r="L125" i="23"/>
  <c r="L121" i="23"/>
  <c r="L117" i="23"/>
  <c r="L113" i="23"/>
  <c r="L109" i="23"/>
  <c r="L105" i="23"/>
  <c r="L101" i="23"/>
  <c r="L97" i="23"/>
  <c r="L93" i="23"/>
  <c r="L89" i="23"/>
  <c r="L85" i="23"/>
  <c r="L81" i="23"/>
  <c r="L77" i="23"/>
  <c r="L73" i="23"/>
  <c r="L69" i="23"/>
  <c r="L65" i="23"/>
  <c r="L61" i="23"/>
  <c r="L57" i="23"/>
  <c r="L53" i="23"/>
  <c r="L49" i="23"/>
  <c r="L45" i="23"/>
  <c r="L41" i="23"/>
  <c r="L37" i="23"/>
  <c r="L33" i="23"/>
  <c r="L29" i="23"/>
  <c r="L25" i="23"/>
  <c r="L21" i="23"/>
  <c r="L17" i="23"/>
  <c r="L13" i="23"/>
  <c r="L152" i="23"/>
  <c r="L148" i="23"/>
  <c r="L144" i="23"/>
  <c r="L140" i="23"/>
  <c r="L136" i="23"/>
  <c r="L132" i="23"/>
  <c r="L128" i="23"/>
  <c r="L124" i="23"/>
  <c r="L120" i="23"/>
  <c r="L116" i="23"/>
  <c r="L112" i="23"/>
  <c r="L108" i="23"/>
  <c r="L104" i="23"/>
  <c r="L100" i="23"/>
  <c r="L96" i="23"/>
  <c r="L92" i="23"/>
  <c r="L88" i="23"/>
  <c r="L84" i="23"/>
  <c r="L80" i="23"/>
  <c r="L76" i="23"/>
  <c r="L72" i="23"/>
  <c r="L68" i="23"/>
  <c r="L64" i="23"/>
  <c r="L60" i="23"/>
  <c r="L56" i="23"/>
  <c r="L52" i="23"/>
  <c r="L48" i="23"/>
  <c r="L44" i="23"/>
  <c r="L40" i="23"/>
  <c r="L36" i="23"/>
  <c r="L32" i="23"/>
  <c r="L28" i="23"/>
  <c r="L24" i="23"/>
  <c r="L20" i="23"/>
  <c r="L16" i="23"/>
  <c r="L12" i="23"/>
  <c r="L151" i="23"/>
  <c r="L147" i="23"/>
  <c r="L143" i="23"/>
  <c r="L135" i="23"/>
  <c r="L131" i="23"/>
  <c r="L150" i="23"/>
  <c r="L146" i="23"/>
  <c r="L142" i="23"/>
  <c r="L138" i="23"/>
  <c r="L134" i="23"/>
  <c r="L130" i="23"/>
  <c r="L126" i="23"/>
  <c r="L122" i="23"/>
  <c r="L118" i="23"/>
  <c r="L114" i="23"/>
  <c r="L110" i="23"/>
  <c r="L106" i="23"/>
  <c r="L102" i="23"/>
  <c r="L98" i="23"/>
  <c r="L94" i="23"/>
  <c r="L90" i="23"/>
  <c r="L86" i="23"/>
  <c r="L82" i="23"/>
  <c r="L78" i="23"/>
  <c r="L74" i="23"/>
  <c r="L70" i="23"/>
  <c r="L66" i="23"/>
  <c r="L62" i="23"/>
  <c r="L58" i="23"/>
  <c r="L54" i="23"/>
  <c r="L50" i="23"/>
  <c r="L46" i="23"/>
  <c r="L42" i="23"/>
  <c r="L38" i="23"/>
  <c r="L34" i="23"/>
  <c r="L30" i="23"/>
  <c r="L26" i="23"/>
  <c r="L22" i="23"/>
  <c r="L18" i="23"/>
  <c r="L14" i="23"/>
  <c r="L10" i="23"/>
  <c r="L139" i="23"/>
  <c r="L115" i="23"/>
  <c r="L99" i="23"/>
  <c r="L83" i="23"/>
  <c r="L67" i="23"/>
  <c r="L51" i="23"/>
  <c r="L35" i="23"/>
  <c r="L19" i="23"/>
  <c r="L127" i="23"/>
  <c r="L111" i="23"/>
  <c r="L95" i="23"/>
  <c r="L79" i="23"/>
  <c r="L63" i="23"/>
  <c r="L47" i="23"/>
  <c r="L31" i="23"/>
  <c r="L15" i="23"/>
  <c r="L71" i="23"/>
  <c r="L123" i="23"/>
  <c r="L107" i="23"/>
  <c r="L91" i="23"/>
  <c r="L75" i="23"/>
  <c r="L59" i="23"/>
  <c r="L43" i="23"/>
  <c r="L27" i="23"/>
  <c r="L11" i="23"/>
  <c r="L119" i="23"/>
  <c r="L103" i="23"/>
  <c r="L87" i="23"/>
  <c r="L55" i="23"/>
  <c r="L39" i="23"/>
  <c r="L23" i="23"/>
  <c r="AJ43" i="23"/>
  <c r="AH43" i="23"/>
  <c r="AE37" i="23"/>
  <c r="AD37" i="23"/>
  <c r="Y37" i="23" s="1"/>
  <c r="Z37" i="23" s="1"/>
  <c r="S37" i="23"/>
  <c r="O37" i="23"/>
  <c r="N37" i="23"/>
  <c r="AE36" i="23"/>
  <c r="AD36" i="23"/>
  <c r="Y36" i="23" s="1"/>
  <c r="Z36" i="23" s="1"/>
  <c r="S36" i="23"/>
  <c r="O36" i="23"/>
  <c r="N36" i="23"/>
  <c r="AE35" i="23"/>
  <c r="AD35" i="23"/>
  <c r="Y35" i="23" s="1"/>
  <c r="Z35" i="23" s="1"/>
  <c r="S35" i="23"/>
  <c r="O35" i="23"/>
  <c r="N35" i="23"/>
  <c r="AC35" i="23" l="1"/>
  <c r="X35" i="23"/>
  <c r="AB35" i="23"/>
  <c r="AA35" i="23"/>
  <c r="AA37" i="23"/>
  <c r="AB37" i="23"/>
  <c r="AC37" i="23"/>
  <c r="X37" i="23"/>
  <c r="AB36" i="23"/>
  <c r="X36" i="23"/>
  <c r="AA36" i="23"/>
  <c r="AC36" i="23"/>
  <c r="AE34" i="23"/>
  <c r="AD34" i="23"/>
  <c r="Y34" i="23" s="1"/>
  <c r="Z34" i="23" s="1"/>
  <c r="S34" i="23"/>
  <c r="O34" i="23"/>
  <c r="N34" i="23"/>
  <c r="AE33" i="23"/>
  <c r="AD33" i="23"/>
  <c r="Y33" i="23" s="1"/>
  <c r="Z33" i="23" s="1"/>
  <c r="S33" i="23"/>
  <c r="O33" i="23"/>
  <c r="N33" i="23"/>
  <c r="I15" i="3"/>
  <c r="I36" i="3"/>
  <c r="I21" i="3"/>
  <c r="I30" i="3"/>
  <c r="I24" i="3"/>
  <c r="I25" i="3"/>
  <c r="I23" i="3"/>
  <c r="I16" i="3"/>
  <c r="I28" i="3"/>
  <c r="I32" i="3"/>
  <c r="I18" i="3"/>
  <c r="I19" i="3"/>
  <c r="I17" i="3"/>
  <c r="I27" i="3"/>
  <c r="I35" i="3"/>
  <c r="I31" i="3"/>
  <c r="I33" i="3"/>
  <c r="I20" i="3"/>
  <c r="I22" i="3"/>
  <c r="I26" i="3"/>
  <c r="I34" i="3"/>
  <c r="I29" i="3"/>
  <c r="AA33" i="23" l="1"/>
  <c r="AC33" i="23"/>
  <c r="U33" i="23" s="1"/>
  <c r="X33" i="23"/>
  <c r="AB33" i="23"/>
  <c r="AA34" i="23"/>
  <c r="AC34" i="23"/>
  <c r="U34" i="23" s="1"/>
  <c r="X34" i="23"/>
  <c r="AB34" i="23"/>
  <c r="F29" i="3"/>
  <c r="F28" i="3"/>
  <c r="F27" i="3"/>
  <c r="AE32" i="23"/>
  <c r="AD32" i="23"/>
  <c r="Y32" i="23" s="1"/>
  <c r="Z32" i="23" s="1"/>
  <c r="S32" i="23"/>
  <c r="O32" i="23"/>
  <c r="N32" i="23"/>
  <c r="AE31" i="23"/>
  <c r="AD31" i="23"/>
  <c r="Y31" i="23" s="1"/>
  <c r="Z31" i="23" s="1"/>
  <c r="S31" i="23"/>
  <c r="O31" i="23"/>
  <c r="N31" i="23"/>
  <c r="AE30" i="23"/>
  <c r="AD30" i="23"/>
  <c r="Y30" i="23" s="1"/>
  <c r="Z30" i="23" s="1"/>
  <c r="S30" i="23"/>
  <c r="O30" i="23"/>
  <c r="N30" i="23"/>
  <c r="AE29" i="23"/>
  <c r="AD29" i="23"/>
  <c r="Y29" i="23" s="1"/>
  <c r="Z29" i="23" s="1"/>
  <c r="S29" i="23"/>
  <c r="O29" i="23"/>
  <c r="N29" i="23"/>
  <c r="AE28" i="23"/>
  <c r="AD28" i="23"/>
  <c r="Y28" i="23" s="1"/>
  <c r="Z28" i="23" s="1"/>
  <c r="S28" i="23"/>
  <c r="O28" i="23"/>
  <c r="N28" i="23"/>
  <c r="AE27" i="23"/>
  <c r="AD27" i="23"/>
  <c r="Y27" i="23" s="1"/>
  <c r="Z27" i="23" s="1"/>
  <c r="S27" i="23"/>
  <c r="O27" i="23"/>
  <c r="N27" i="23"/>
  <c r="AA29" i="23" l="1"/>
  <c r="AB29" i="23"/>
  <c r="AC29" i="23"/>
  <c r="X29" i="23"/>
  <c r="AC30" i="23"/>
  <c r="X30" i="23"/>
  <c r="AB30" i="23"/>
  <c r="AA30" i="23"/>
  <c r="AC27" i="23"/>
  <c r="X27" i="23"/>
  <c r="AB27" i="23"/>
  <c r="AA27" i="23"/>
  <c r="AC31" i="23"/>
  <c r="U31" i="23" s="1"/>
  <c r="X31" i="23"/>
  <c r="AB31" i="23"/>
  <c r="AA31" i="23"/>
  <c r="AB28" i="23"/>
  <c r="X28" i="23"/>
  <c r="AA28" i="23"/>
  <c r="AC28" i="23"/>
  <c r="AB32" i="23"/>
  <c r="AC32" i="23"/>
  <c r="AA32" i="23"/>
  <c r="X32" i="23"/>
  <c r="U30" i="23"/>
  <c r="AE26" i="23"/>
  <c r="AD26" i="23"/>
  <c r="Y26" i="23" s="1"/>
  <c r="Z26" i="23" s="1"/>
  <c r="S26" i="23"/>
  <c r="O26" i="23"/>
  <c r="N26" i="23"/>
  <c r="AA26" i="23" l="1"/>
  <c r="AC26" i="23"/>
  <c r="U26" i="23" s="1"/>
  <c r="X26" i="23"/>
  <c r="AB26" i="23"/>
  <c r="T177" i="11"/>
  <c r="S177" i="11"/>
  <c r="T176" i="11"/>
  <c r="S176" i="11"/>
  <c r="T175" i="11"/>
  <c r="S175" i="11"/>
  <c r="T174" i="11"/>
  <c r="S174" i="11"/>
  <c r="T173" i="11"/>
  <c r="S173" i="11"/>
  <c r="T172" i="11"/>
  <c r="S172" i="11"/>
  <c r="T171" i="11"/>
  <c r="S171" i="11"/>
  <c r="T170" i="11"/>
  <c r="S170" i="11"/>
  <c r="T169" i="11"/>
  <c r="S169" i="11"/>
  <c r="T168" i="11"/>
  <c r="S168" i="11"/>
  <c r="T167" i="11"/>
  <c r="S167" i="11"/>
  <c r="T166" i="11"/>
  <c r="S166" i="11"/>
  <c r="T165" i="11"/>
  <c r="S165" i="11"/>
  <c r="T164" i="11"/>
  <c r="S164" i="11"/>
  <c r="T163" i="11"/>
  <c r="S163" i="11"/>
  <c r="T162" i="11"/>
  <c r="S162" i="11"/>
  <c r="T161" i="11"/>
  <c r="S161" i="11"/>
  <c r="T160" i="11"/>
  <c r="S160" i="11"/>
  <c r="T159" i="11"/>
  <c r="S159" i="11"/>
  <c r="T158" i="11"/>
  <c r="S158" i="11"/>
  <c r="T157" i="11"/>
  <c r="S157" i="11"/>
  <c r="T156" i="11"/>
  <c r="S156" i="11"/>
  <c r="T155" i="11"/>
  <c r="S155" i="11"/>
  <c r="T154" i="11"/>
  <c r="S154" i="11"/>
  <c r="T153" i="11"/>
  <c r="S153" i="11"/>
  <c r="T152" i="11"/>
  <c r="S152" i="11"/>
  <c r="T151" i="11"/>
  <c r="S151" i="11"/>
  <c r="T150" i="11"/>
  <c r="S150" i="11"/>
  <c r="T149" i="11"/>
  <c r="S149" i="11"/>
  <c r="T148" i="11"/>
  <c r="S148" i="11"/>
  <c r="T147" i="11"/>
  <c r="S147" i="11"/>
  <c r="T146" i="11"/>
  <c r="S146" i="11"/>
  <c r="T145" i="11"/>
  <c r="S145" i="11"/>
  <c r="T144" i="11"/>
  <c r="S144" i="11"/>
  <c r="T143" i="11"/>
  <c r="S143" i="11"/>
  <c r="T142" i="11"/>
  <c r="S142" i="11"/>
  <c r="T141" i="11"/>
  <c r="S141" i="11"/>
  <c r="T140" i="11"/>
  <c r="S140" i="11"/>
  <c r="T139" i="11"/>
  <c r="S139" i="11"/>
  <c r="T138" i="11"/>
  <c r="S138" i="11"/>
  <c r="T137" i="11"/>
  <c r="S137" i="11"/>
  <c r="T136" i="11"/>
  <c r="S136" i="11"/>
  <c r="T135" i="11"/>
  <c r="S135" i="11"/>
  <c r="T134" i="11"/>
  <c r="S134" i="11"/>
  <c r="T133" i="11"/>
  <c r="S133" i="11"/>
  <c r="T132" i="11"/>
  <c r="S132" i="11"/>
  <c r="T131" i="11"/>
  <c r="S131" i="11"/>
  <c r="T130" i="11"/>
  <c r="S130" i="11"/>
  <c r="T129" i="11"/>
  <c r="S129" i="11"/>
  <c r="T128" i="11"/>
  <c r="S128" i="11"/>
  <c r="T127" i="11"/>
  <c r="S127" i="11"/>
  <c r="T126" i="11"/>
  <c r="S126" i="11"/>
  <c r="T125" i="11"/>
  <c r="S125" i="11"/>
  <c r="T124" i="11"/>
  <c r="S124" i="11"/>
  <c r="T123" i="11"/>
  <c r="S123" i="11"/>
  <c r="T122" i="11"/>
  <c r="S122" i="11"/>
  <c r="T121" i="11"/>
  <c r="S121" i="11"/>
  <c r="T120" i="11"/>
  <c r="S120" i="11"/>
  <c r="T119" i="11"/>
  <c r="S119" i="11"/>
  <c r="T118" i="11"/>
  <c r="S118" i="11"/>
  <c r="T117" i="11"/>
  <c r="S117" i="11"/>
  <c r="T116" i="11"/>
  <c r="S116" i="11"/>
  <c r="T115" i="11"/>
  <c r="S115" i="11"/>
  <c r="T114" i="11"/>
  <c r="S114" i="11"/>
  <c r="T113" i="11"/>
  <c r="S113" i="11"/>
  <c r="T112" i="11"/>
  <c r="S112" i="11"/>
  <c r="T111" i="11"/>
  <c r="S111" i="11"/>
  <c r="T110" i="11"/>
  <c r="S110" i="11"/>
  <c r="T109" i="11"/>
  <c r="S109" i="11"/>
  <c r="T108" i="11"/>
  <c r="S108" i="11"/>
  <c r="T107" i="11"/>
  <c r="S107" i="11"/>
  <c r="T106" i="11"/>
  <c r="S106" i="11"/>
  <c r="T105" i="11"/>
  <c r="S105" i="11"/>
  <c r="T104" i="11"/>
  <c r="S104" i="11"/>
  <c r="T103" i="11"/>
  <c r="S103" i="11"/>
  <c r="T102" i="11"/>
  <c r="S102" i="11"/>
  <c r="T101" i="11"/>
  <c r="S101" i="11"/>
  <c r="T100" i="11"/>
  <c r="S100" i="11"/>
  <c r="T99" i="11"/>
  <c r="S99" i="11"/>
  <c r="T98" i="11"/>
  <c r="S98" i="11"/>
  <c r="T97" i="11"/>
  <c r="S97" i="11"/>
  <c r="T96" i="11"/>
  <c r="S96" i="11"/>
  <c r="T95" i="11"/>
  <c r="S95" i="11"/>
  <c r="T94" i="11"/>
  <c r="S94" i="11"/>
  <c r="T93" i="11"/>
  <c r="S93" i="11"/>
  <c r="T92" i="11"/>
  <c r="S92" i="11"/>
  <c r="T91" i="11"/>
  <c r="S91" i="11"/>
  <c r="T90" i="11"/>
  <c r="S90" i="11"/>
  <c r="T89" i="11"/>
  <c r="S89" i="11"/>
  <c r="T88" i="11"/>
  <c r="S88" i="11"/>
  <c r="T87" i="11"/>
  <c r="S87" i="11"/>
  <c r="T86" i="11"/>
  <c r="S86" i="11"/>
  <c r="T85" i="11"/>
  <c r="S85" i="11"/>
  <c r="T84" i="11"/>
  <c r="S84" i="11"/>
  <c r="T83" i="11"/>
  <c r="S83" i="11"/>
  <c r="T82" i="11"/>
  <c r="S82" i="11"/>
  <c r="T81" i="11"/>
  <c r="S81" i="11"/>
  <c r="T80" i="11"/>
  <c r="S80" i="11"/>
  <c r="T79" i="11"/>
  <c r="S79" i="11"/>
  <c r="T78" i="11"/>
  <c r="S78" i="11"/>
  <c r="T77" i="11"/>
  <c r="S77" i="11"/>
  <c r="T76" i="11"/>
  <c r="S76" i="11"/>
  <c r="T75" i="11"/>
  <c r="S75" i="11"/>
  <c r="T74" i="11"/>
  <c r="S74" i="11"/>
  <c r="T73" i="11"/>
  <c r="S73" i="11"/>
  <c r="T72" i="11"/>
  <c r="S72" i="11"/>
  <c r="T71" i="11"/>
  <c r="S71" i="11"/>
  <c r="T70" i="11"/>
  <c r="S70" i="11"/>
  <c r="T69" i="11"/>
  <c r="S69" i="11"/>
  <c r="T68" i="11"/>
  <c r="S68" i="11"/>
  <c r="T67" i="11"/>
  <c r="S67" i="11"/>
  <c r="T66" i="11"/>
  <c r="S66" i="11"/>
  <c r="T65" i="11"/>
  <c r="S65" i="11"/>
  <c r="T64" i="11"/>
  <c r="S64" i="11"/>
  <c r="T63" i="11"/>
  <c r="S63" i="11"/>
  <c r="T62" i="11"/>
  <c r="S62" i="11"/>
  <c r="T61" i="11"/>
  <c r="S61" i="11"/>
  <c r="T60" i="11"/>
  <c r="S60" i="11"/>
  <c r="T59" i="11"/>
  <c r="S59" i="11"/>
  <c r="T58" i="11"/>
  <c r="S58" i="11"/>
  <c r="T57" i="11"/>
  <c r="S57" i="11"/>
  <c r="T56" i="11"/>
  <c r="S56" i="11"/>
  <c r="T55" i="11"/>
  <c r="S55" i="11"/>
  <c r="T54" i="11"/>
  <c r="S54" i="11"/>
  <c r="T53" i="11"/>
  <c r="S53" i="11"/>
  <c r="T52" i="11"/>
  <c r="S52" i="11"/>
  <c r="T51" i="11"/>
  <c r="S51" i="11"/>
  <c r="T50" i="11"/>
  <c r="S50" i="11"/>
  <c r="T49" i="11"/>
  <c r="S49" i="11"/>
  <c r="T48" i="11"/>
  <c r="S48" i="11"/>
  <c r="T47" i="11"/>
  <c r="S47" i="11"/>
  <c r="T46" i="11"/>
  <c r="S46" i="11"/>
  <c r="T45" i="11"/>
  <c r="S45" i="11"/>
  <c r="T44" i="11"/>
  <c r="S44" i="11"/>
  <c r="T43" i="11"/>
  <c r="S43" i="11"/>
  <c r="T42" i="11"/>
  <c r="S42" i="11"/>
  <c r="T41" i="11"/>
  <c r="S41" i="11"/>
  <c r="T40" i="11"/>
  <c r="S40" i="11"/>
  <c r="T39" i="11"/>
  <c r="S39" i="11"/>
  <c r="T38" i="11"/>
  <c r="S38" i="11"/>
  <c r="T37" i="11"/>
  <c r="S37" i="11"/>
  <c r="T36" i="11"/>
  <c r="S36" i="11"/>
  <c r="T35" i="11"/>
  <c r="S35" i="11"/>
  <c r="T34" i="11"/>
  <c r="S34" i="11"/>
  <c r="T33" i="11"/>
  <c r="S33" i="11"/>
  <c r="T32" i="11"/>
  <c r="S32" i="11"/>
  <c r="T31" i="11"/>
  <c r="S31" i="11"/>
  <c r="T30" i="11"/>
  <c r="S30" i="11"/>
  <c r="T29" i="11"/>
  <c r="S29" i="11"/>
  <c r="T28" i="11"/>
  <c r="S28" i="11"/>
  <c r="T27" i="11"/>
  <c r="S27" i="11"/>
  <c r="T26" i="11"/>
  <c r="S26" i="11"/>
  <c r="T25" i="11"/>
  <c r="S25" i="11"/>
  <c r="T24" i="11"/>
  <c r="S24" i="11"/>
  <c r="T23" i="11"/>
  <c r="S23" i="11"/>
  <c r="T22" i="11"/>
  <c r="S22" i="11"/>
  <c r="T21" i="11"/>
  <c r="S21" i="11"/>
  <c r="T20" i="11"/>
  <c r="S20" i="11"/>
  <c r="T19" i="11"/>
  <c r="S19" i="11"/>
  <c r="T18" i="11"/>
  <c r="S18" i="11"/>
  <c r="T17" i="11"/>
  <c r="S17" i="11"/>
  <c r="T16" i="11"/>
  <c r="S16" i="11"/>
  <c r="T15" i="11"/>
  <c r="S15" i="11"/>
  <c r="T14" i="11"/>
  <c r="S14" i="11"/>
  <c r="T13" i="11"/>
  <c r="S13" i="11"/>
  <c r="T12" i="11"/>
  <c r="S12" i="11"/>
  <c r="T11" i="11"/>
  <c r="S11" i="11"/>
  <c r="T10" i="11"/>
  <c r="S10" i="11"/>
  <c r="T9" i="11"/>
  <c r="S9" i="11"/>
  <c r="T8" i="11"/>
  <c r="S8" i="11"/>
  <c r="T7" i="11"/>
  <c r="S7" i="11"/>
  <c r="T6" i="11"/>
  <c r="S6" i="11"/>
  <c r="T5" i="11"/>
  <c r="S5" i="11"/>
  <c r="T4" i="11"/>
  <c r="S4" i="11"/>
  <c r="T3" i="11"/>
  <c r="S3" i="11"/>
  <c r="T2" i="11"/>
  <c r="S2" i="11"/>
  <c r="D10" i="3"/>
  <c r="D4" i="3"/>
  <c r="T378" i="23" l="1"/>
  <c r="T370" i="23"/>
  <c r="T354" i="23"/>
  <c r="T379" i="23"/>
  <c r="T371" i="23"/>
  <c r="T367" i="23"/>
  <c r="T348" i="23"/>
  <c r="T344" i="23"/>
  <c r="R344" i="23" s="1"/>
  <c r="T341" i="23"/>
  <c r="R341" i="23" s="1"/>
  <c r="T339" i="23"/>
  <c r="R339" i="23" s="1"/>
  <c r="T340" i="23"/>
  <c r="R340" i="23" s="1"/>
  <c r="T331" i="23"/>
  <c r="R331" i="23" s="1"/>
  <c r="T322" i="23"/>
  <c r="R322" i="23" s="1"/>
  <c r="T315" i="23"/>
  <c r="R315" i="23" s="1"/>
  <c r="T313" i="23"/>
  <c r="R313" i="23" s="1"/>
  <c r="T316" i="23"/>
  <c r="R316" i="23" s="1"/>
  <c r="T314" i="23"/>
  <c r="R314" i="23" s="1"/>
  <c r="T312" i="23"/>
  <c r="R312" i="23" s="1"/>
  <c r="T295" i="23"/>
  <c r="R295" i="23" s="1"/>
  <c r="T283" i="23"/>
  <c r="R283" i="23" s="1"/>
  <c r="T294" i="23"/>
  <c r="R294" i="23" s="1"/>
  <c r="T267" i="23"/>
  <c r="R267" i="23" s="1"/>
  <c r="T265" i="23"/>
  <c r="R265" i="23" s="1"/>
  <c r="T264" i="23"/>
  <c r="R264" i="23" s="1"/>
  <c r="T266" i="23"/>
  <c r="R266" i="23" s="1"/>
  <c r="T380" i="23"/>
  <c r="T358" i="23"/>
  <c r="T369" i="23"/>
  <c r="T363" i="23"/>
  <c r="T357" i="23"/>
  <c r="T343" i="23"/>
  <c r="R343" i="23" s="1"/>
  <c r="T321" i="23"/>
  <c r="R321" i="23" s="1"/>
  <c r="T303" i="23"/>
  <c r="R303" i="23" s="1"/>
  <c r="T304" i="23"/>
  <c r="R304" i="23" s="1"/>
  <c r="T302" i="23"/>
  <c r="T293" i="23"/>
  <c r="R293" i="23" s="1"/>
  <c r="T289" i="23"/>
  <c r="R289" i="23" s="1"/>
  <c r="T290" i="23"/>
  <c r="R290" i="23" s="1"/>
  <c r="T263" i="23"/>
  <c r="R263" i="23" s="1"/>
  <c r="T255" i="23"/>
  <c r="R255" i="23" s="1"/>
  <c r="T262" i="23"/>
  <c r="R262" i="23" s="1"/>
  <c r="T204" i="23"/>
  <c r="R204" i="23" s="1"/>
  <c r="T201" i="23"/>
  <c r="R201" i="23" s="1"/>
  <c r="T200" i="23"/>
  <c r="R200" i="23" s="1"/>
  <c r="T199" i="23"/>
  <c r="R199" i="23" s="1"/>
  <c r="T240" i="23"/>
  <c r="R240" i="23" s="1"/>
  <c r="T241" i="23"/>
  <c r="R241" i="23" s="1"/>
  <c r="T242" i="23"/>
  <c r="R242" i="23" s="1"/>
  <c r="T226" i="23"/>
  <c r="R226" i="23" s="1"/>
  <c r="T216" i="23"/>
  <c r="R216" i="23" s="1"/>
  <c r="T212" i="23"/>
  <c r="R212" i="23" s="1"/>
  <c r="T207" i="23"/>
  <c r="R207" i="23" s="1"/>
  <c r="T203" i="23"/>
  <c r="R203" i="23" s="1"/>
  <c r="T172" i="23"/>
  <c r="R172" i="23" s="1"/>
  <c r="T167" i="23"/>
  <c r="R167" i="23" s="1"/>
  <c r="T140" i="23"/>
  <c r="R140" i="23" s="1"/>
  <c r="T139" i="23"/>
  <c r="R139" i="23" s="1"/>
  <c r="T138" i="23"/>
  <c r="R138" i="23" s="1"/>
  <c r="T135" i="23"/>
  <c r="R135" i="23" s="1"/>
  <c r="T131" i="23"/>
  <c r="R131" i="23" s="1"/>
  <c r="T136" i="23"/>
  <c r="R136" i="23" s="1"/>
  <c r="T132" i="23"/>
  <c r="R132" i="23" s="1"/>
  <c r="T130" i="23"/>
  <c r="R130" i="23" s="1"/>
  <c r="T133" i="23"/>
  <c r="R133" i="23" s="1"/>
  <c r="T117" i="23"/>
  <c r="R117" i="23" s="1"/>
  <c r="T114" i="23"/>
  <c r="R114" i="23" s="1"/>
  <c r="T113" i="23"/>
  <c r="R113" i="23" s="1"/>
  <c r="T163" i="23"/>
  <c r="R163" i="23" s="1"/>
  <c r="T129" i="23"/>
  <c r="R129" i="23" s="1"/>
  <c r="T128" i="23"/>
  <c r="R128" i="23" s="1"/>
  <c r="T119" i="23"/>
  <c r="R119" i="23" s="1"/>
  <c r="T118" i="23"/>
  <c r="R118" i="23" s="1"/>
  <c r="T116" i="23"/>
  <c r="R116" i="23" s="1"/>
  <c r="T101" i="23"/>
  <c r="R101" i="23" s="1"/>
  <c r="T103" i="23"/>
  <c r="R103" i="23" s="1"/>
  <c r="T99" i="23"/>
  <c r="R99" i="23" s="1"/>
  <c r="T100" i="23"/>
  <c r="R100" i="23" s="1"/>
  <c r="T98" i="23"/>
  <c r="R98" i="23" s="1"/>
  <c r="T97" i="23"/>
  <c r="R97" i="23" s="1"/>
  <c r="T96" i="23"/>
  <c r="R96" i="23" s="1"/>
  <c r="T95" i="23"/>
  <c r="R95" i="23" s="1"/>
  <c r="T165" i="23"/>
  <c r="R165" i="23" s="1"/>
  <c r="T160" i="23"/>
  <c r="R160" i="23" s="1"/>
  <c r="T159" i="23"/>
  <c r="R159" i="23" s="1"/>
  <c r="T161" i="23"/>
  <c r="R161" i="23" s="1"/>
  <c r="T158" i="23"/>
  <c r="R158" i="23" s="1"/>
  <c r="T155" i="23"/>
  <c r="R155" i="23" s="1"/>
  <c r="T156" i="23"/>
  <c r="R156" i="23" s="1"/>
  <c r="T154" i="23"/>
  <c r="R154" i="23" s="1"/>
  <c r="T153" i="23"/>
  <c r="R153" i="23" s="1"/>
  <c r="T145" i="23"/>
  <c r="R145" i="23" s="1"/>
  <c r="T152" i="23"/>
  <c r="R152" i="23" s="1"/>
  <c r="T144" i="23"/>
  <c r="R144" i="23" s="1"/>
  <c r="T151" i="23"/>
  <c r="R151" i="23" s="1"/>
  <c r="T147" i="23"/>
  <c r="R147" i="23" s="1"/>
  <c r="T146" i="23"/>
  <c r="R146" i="23" s="1"/>
  <c r="T141" i="23"/>
  <c r="R141" i="23" s="1"/>
  <c r="T142" i="23"/>
  <c r="R142" i="23" s="1"/>
  <c r="T143" i="23"/>
  <c r="R143" i="23" s="1"/>
  <c r="T123" i="23"/>
  <c r="R123" i="23" s="1"/>
  <c r="T121" i="23"/>
  <c r="R121" i="23" s="1"/>
  <c r="T134" i="23"/>
  <c r="R134" i="23" s="1"/>
  <c r="T137" i="23"/>
  <c r="R137" i="23" s="1"/>
  <c r="T120" i="23"/>
  <c r="R120" i="23" s="1"/>
  <c r="T115" i="23"/>
  <c r="R115" i="23" s="1"/>
  <c r="T106" i="23"/>
  <c r="R106" i="23" s="1"/>
  <c r="T109" i="23"/>
  <c r="R109" i="23" s="1"/>
  <c r="T105" i="23"/>
  <c r="R105" i="23" s="1"/>
  <c r="T104" i="23"/>
  <c r="R104" i="23" s="1"/>
  <c r="T176" i="23"/>
  <c r="R176" i="23" s="1"/>
  <c r="T175" i="23"/>
  <c r="R175" i="23" s="1"/>
  <c r="T168" i="23"/>
  <c r="R168" i="23" s="1"/>
  <c r="T173" i="23"/>
  <c r="R173" i="23" s="1"/>
  <c r="T169" i="23"/>
  <c r="R169" i="23" s="1"/>
  <c r="T166" i="23"/>
  <c r="R166" i="23" s="1"/>
  <c r="T149" i="23"/>
  <c r="R149" i="23" s="1"/>
  <c r="T148" i="23"/>
  <c r="R148" i="23" s="1"/>
  <c r="T125" i="23"/>
  <c r="R125" i="23" s="1"/>
  <c r="T122" i="23"/>
  <c r="R122" i="23" s="1"/>
  <c r="T111" i="23"/>
  <c r="R111" i="23" s="1"/>
  <c r="T102" i="23"/>
  <c r="R102" i="23" s="1"/>
  <c r="T174" i="23"/>
  <c r="R174" i="23" s="1"/>
  <c r="T171" i="23"/>
  <c r="R171" i="23" s="1"/>
  <c r="T164" i="23"/>
  <c r="R164" i="23" s="1"/>
  <c r="T162" i="23"/>
  <c r="R162" i="23" s="1"/>
  <c r="T150" i="23"/>
  <c r="R150" i="23" s="1"/>
  <c r="T126" i="23"/>
  <c r="R126" i="23" s="1"/>
  <c r="T124" i="23"/>
  <c r="R124" i="23" s="1"/>
  <c r="T110" i="23"/>
  <c r="R110" i="23" s="1"/>
  <c r="T195" i="23"/>
  <c r="R195" i="23" s="1"/>
  <c r="T192" i="23"/>
  <c r="R192" i="23" s="1"/>
  <c r="T194" i="23"/>
  <c r="R194" i="23" s="1"/>
  <c r="T191" i="23"/>
  <c r="R191" i="23" s="1"/>
  <c r="T190" i="23"/>
  <c r="R190" i="23" s="1"/>
  <c r="T189" i="23"/>
  <c r="R189" i="23" s="1"/>
  <c r="T184" i="23"/>
  <c r="R184" i="23" s="1"/>
  <c r="T188" i="23"/>
  <c r="R188" i="23" s="1"/>
  <c r="T187" i="23"/>
  <c r="R187" i="23" s="1"/>
  <c r="T183" i="23"/>
  <c r="R183" i="23" s="1"/>
  <c r="T193" i="23"/>
  <c r="R193" i="23" s="1"/>
  <c r="T180" i="23"/>
  <c r="R180" i="23" s="1"/>
  <c r="T181" i="23"/>
  <c r="R181" i="23" s="1"/>
  <c r="T179" i="23"/>
  <c r="R179" i="23" s="1"/>
  <c r="T178" i="23"/>
  <c r="R178" i="23" s="1"/>
  <c r="T177" i="23"/>
  <c r="R177" i="23" s="1"/>
  <c r="T91" i="23"/>
  <c r="R91" i="23" s="1"/>
  <c r="T77" i="23"/>
  <c r="R77" i="23" s="1"/>
  <c r="T78" i="23"/>
  <c r="R78" i="23" s="1"/>
  <c r="T76" i="23"/>
  <c r="R76" i="23" s="1"/>
  <c r="T75" i="23"/>
  <c r="R75" i="23" s="1"/>
  <c r="T74" i="23"/>
  <c r="R74" i="23" s="1"/>
  <c r="T66" i="23"/>
  <c r="R66" i="23" s="1"/>
  <c r="T45" i="23"/>
  <c r="R45" i="23" s="1"/>
  <c r="T44" i="23"/>
  <c r="R44" i="23" s="1"/>
  <c r="T47" i="23"/>
  <c r="R47" i="23" s="1"/>
  <c r="T46" i="23"/>
  <c r="R46" i="23" s="1"/>
  <c r="T41" i="23"/>
  <c r="R41" i="23" s="1"/>
  <c r="T42" i="23"/>
  <c r="R42" i="23" s="1"/>
  <c r="T34" i="23"/>
  <c r="R34" i="23" s="1"/>
  <c r="T89" i="23"/>
  <c r="R89" i="23" s="1"/>
  <c r="T68" i="23"/>
  <c r="R68" i="23" s="1"/>
  <c r="T70" i="23"/>
  <c r="R70" i="23" s="1"/>
  <c r="T69" i="23"/>
  <c r="R69" i="23" s="1"/>
  <c r="T71" i="23"/>
  <c r="R71" i="23" s="1"/>
  <c r="T35" i="23"/>
  <c r="R35" i="23" s="1"/>
  <c r="T36" i="23"/>
  <c r="R36" i="23" s="1"/>
  <c r="T37" i="23"/>
  <c r="R37" i="23" s="1"/>
  <c r="T88" i="23"/>
  <c r="R88" i="23" s="1"/>
  <c r="T86" i="23"/>
  <c r="R86" i="23" s="1"/>
  <c r="T87" i="23"/>
  <c r="R87" i="23" s="1"/>
  <c r="T72" i="23"/>
  <c r="R72" i="23" s="1"/>
  <c r="T73" i="23"/>
  <c r="R73" i="23" s="1"/>
  <c r="T65" i="23"/>
  <c r="R65" i="23" s="1"/>
  <c r="T53" i="23"/>
  <c r="R53" i="23" s="1"/>
  <c r="T92" i="23"/>
  <c r="R92" i="23" s="1"/>
  <c r="T93" i="23"/>
  <c r="R93" i="23" s="1"/>
  <c r="T94" i="23"/>
  <c r="R94" i="23" s="1"/>
  <c r="T90" i="23"/>
  <c r="R90" i="23" s="1"/>
  <c r="T82" i="23"/>
  <c r="R82" i="23" s="1"/>
  <c r="T83" i="23"/>
  <c r="R83" i="23" s="1"/>
  <c r="T81" i="23"/>
  <c r="R81" i="23" s="1"/>
  <c r="T80" i="23"/>
  <c r="R80" i="23" s="1"/>
  <c r="T79" i="23"/>
  <c r="R79" i="23" s="1"/>
  <c r="T67" i="23"/>
  <c r="R67" i="23" s="1"/>
  <c r="T60" i="23"/>
  <c r="R60" i="23" s="1"/>
  <c r="T61" i="23"/>
  <c r="R61" i="23" s="1"/>
  <c r="T40" i="23"/>
  <c r="R40" i="23" s="1"/>
  <c r="T39" i="23"/>
  <c r="R39" i="23" s="1"/>
  <c r="T43" i="23"/>
  <c r="R43" i="23" s="1"/>
  <c r="T64" i="23"/>
  <c r="R64" i="23" s="1"/>
  <c r="T63" i="23"/>
  <c r="R63" i="23" s="1"/>
  <c r="T56" i="23"/>
  <c r="R56" i="23" s="1"/>
  <c r="T62" i="23"/>
  <c r="R62" i="23" s="1"/>
  <c r="T57" i="23"/>
  <c r="R57" i="23" s="1"/>
  <c r="T59" i="23"/>
  <c r="R59" i="23" s="1"/>
  <c r="T58" i="23"/>
  <c r="R58" i="23" s="1"/>
  <c r="T52" i="23"/>
  <c r="R52" i="23" s="1"/>
  <c r="T54" i="23"/>
  <c r="R54" i="23" s="1"/>
  <c r="T55" i="23"/>
  <c r="R55" i="23" s="1"/>
  <c r="T51" i="23"/>
  <c r="R51" i="23" s="1"/>
  <c r="T50" i="23"/>
  <c r="R50" i="23" s="1"/>
  <c r="T49" i="23"/>
  <c r="R49" i="23" s="1"/>
  <c r="T48" i="23"/>
  <c r="R48" i="23" s="1"/>
  <c r="T38" i="23"/>
  <c r="R38" i="23" s="1"/>
  <c r="T33" i="23"/>
  <c r="R33" i="23" s="1"/>
  <c r="T30" i="23"/>
  <c r="R30" i="23" s="1"/>
  <c r="T27" i="23"/>
  <c r="R27" i="23" s="1"/>
  <c r="T31" i="23"/>
  <c r="R31" i="23" s="1"/>
  <c r="T28" i="23"/>
  <c r="R28" i="23" s="1"/>
  <c r="T26" i="23"/>
  <c r="R26" i="23" s="1"/>
  <c r="T32" i="23"/>
  <c r="R32" i="23" s="1"/>
  <c r="T29" i="23"/>
  <c r="R29" i="23" s="1"/>
  <c r="T8" i="23"/>
  <c r="T20" i="23"/>
  <c r="T14" i="23"/>
  <c r="T15" i="23"/>
  <c r="T23" i="23"/>
  <c r="T17" i="23"/>
  <c r="T22" i="23"/>
  <c r="T16" i="23"/>
  <c r="T24" i="23"/>
  <c r="T18" i="23"/>
  <c r="T12" i="23"/>
  <c r="T9" i="23"/>
  <c r="T21" i="23"/>
  <c r="T11" i="23"/>
  <c r="T25" i="23"/>
  <c r="T19" i="23"/>
  <c r="T13" i="23"/>
  <c r="T10" i="23"/>
  <c r="AC354" i="23"/>
  <c r="AC367" i="23"/>
  <c r="AC302" i="23"/>
  <c r="AC358" i="23"/>
  <c r="AC379" i="23"/>
  <c r="AC371" i="23"/>
  <c r="AC369" i="23"/>
  <c r="AC348" i="23"/>
  <c r="AC378" i="23"/>
  <c r="AC363" i="23"/>
  <c r="AC357" i="23"/>
  <c r="AC370" i="23"/>
  <c r="AC380" i="23"/>
  <c r="U255" i="23" l="1"/>
  <c r="U263" i="23"/>
  <c r="U290" i="23"/>
  <c r="U262" i="23"/>
  <c r="U289" i="23"/>
  <c r="U177" i="23"/>
  <c r="U159" i="23"/>
  <c r="U96" i="23"/>
  <c r="U99" i="23"/>
  <c r="U161" i="23"/>
  <c r="U155" i="23"/>
  <c r="U160" i="23"/>
  <c r="U97" i="23"/>
  <c r="U115" i="23"/>
  <c r="U100" i="23"/>
  <c r="U106" i="23"/>
  <c r="U165" i="23"/>
  <c r="U98" i="23"/>
  <c r="U101" i="23"/>
  <c r="AE25" i="23"/>
  <c r="AD25" i="23"/>
  <c r="Y25" i="23" s="1"/>
  <c r="Z25" i="23" s="1"/>
  <c r="R25" i="23" s="1"/>
  <c r="S25" i="23"/>
  <c r="O25" i="23"/>
  <c r="N25" i="23"/>
  <c r="AE24" i="23"/>
  <c r="AD24" i="23"/>
  <c r="Y24" i="23" s="1"/>
  <c r="Z24" i="23" s="1"/>
  <c r="R24" i="23" s="1"/>
  <c r="S24" i="23"/>
  <c r="O24" i="23"/>
  <c r="N24" i="23"/>
  <c r="AE23" i="23"/>
  <c r="AD23" i="23"/>
  <c r="Y23" i="23" s="1"/>
  <c r="Z23" i="23" s="1"/>
  <c r="R23" i="23" s="1"/>
  <c r="S23" i="23"/>
  <c r="O23" i="23"/>
  <c r="N23" i="23"/>
  <c r="AE22" i="23"/>
  <c r="AD22" i="23"/>
  <c r="Y22" i="23" s="1"/>
  <c r="Z22" i="23" s="1"/>
  <c r="R22" i="23" s="1"/>
  <c r="S22" i="23"/>
  <c r="O22" i="23"/>
  <c r="N22" i="23"/>
  <c r="F30" i="3"/>
  <c r="AC23" i="23" l="1"/>
  <c r="X23" i="23"/>
  <c r="AB23" i="23"/>
  <c r="AA23" i="23"/>
  <c r="AB24" i="23"/>
  <c r="AC24" i="23"/>
  <c r="U24" i="23" s="1"/>
  <c r="AA24" i="23"/>
  <c r="X24" i="23"/>
  <c r="AC22" i="23"/>
  <c r="X22" i="23"/>
  <c r="AB22" i="23"/>
  <c r="AA22" i="23"/>
  <c r="AA25" i="23"/>
  <c r="AC25" i="23"/>
  <c r="X25" i="23"/>
  <c r="AB25" i="23"/>
  <c r="F26" i="3"/>
  <c r="AE21" i="23"/>
  <c r="AD21" i="23"/>
  <c r="Y21" i="23" s="1"/>
  <c r="Z21" i="23" s="1"/>
  <c r="R21" i="23" s="1"/>
  <c r="S21" i="23"/>
  <c r="O21" i="23"/>
  <c r="N21" i="23"/>
  <c r="AE20" i="23"/>
  <c r="AD20" i="23"/>
  <c r="Y20" i="23" s="1"/>
  <c r="Z20" i="23" s="1"/>
  <c r="R20" i="23" s="1"/>
  <c r="S20" i="23"/>
  <c r="O20" i="23"/>
  <c r="N20" i="23"/>
  <c r="AE19" i="23"/>
  <c r="AD19" i="23"/>
  <c r="Y19" i="23" s="1"/>
  <c r="Z19" i="23" s="1"/>
  <c r="R19" i="23" s="1"/>
  <c r="S19" i="23"/>
  <c r="O19" i="23"/>
  <c r="N19" i="23"/>
  <c r="AE18" i="23"/>
  <c r="AD18" i="23"/>
  <c r="Y18" i="23" s="1"/>
  <c r="Z18" i="23" s="1"/>
  <c r="R18" i="23" s="1"/>
  <c r="S18" i="23"/>
  <c r="O18" i="23"/>
  <c r="N18" i="23"/>
  <c r="AA21" i="23" l="1"/>
  <c r="AB21" i="23"/>
  <c r="AC21" i="23"/>
  <c r="U21" i="23" s="1"/>
  <c r="X21" i="23"/>
  <c r="AA18" i="23"/>
  <c r="AC18" i="23"/>
  <c r="X18" i="23"/>
  <c r="AB18" i="23"/>
  <c r="AC19" i="23"/>
  <c r="X19" i="23"/>
  <c r="AB19" i="23"/>
  <c r="AA19" i="23"/>
  <c r="AB20" i="23"/>
  <c r="X20" i="23"/>
  <c r="AA20" i="23"/>
  <c r="AC20" i="23"/>
  <c r="F15" i="3"/>
  <c r="AE17" i="23"/>
  <c r="AD17" i="23"/>
  <c r="Y17" i="23" s="1"/>
  <c r="Z17" i="23" s="1"/>
  <c r="R17" i="23" s="1"/>
  <c r="S17" i="23"/>
  <c r="O17" i="23"/>
  <c r="N17" i="23"/>
  <c r="AE16" i="23"/>
  <c r="AD16" i="23"/>
  <c r="Y16" i="23" s="1"/>
  <c r="Z16" i="23" s="1"/>
  <c r="R16" i="23" s="1"/>
  <c r="S16" i="23"/>
  <c r="O16" i="23"/>
  <c r="N16" i="23"/>
  <c r="AA17" i="23" l="1"/>
  <c r="AC17" i="23"/>
  <c r="X17" i="23"/>
  <c r="AB17" i="23"/>
  <c r="AB16" i="23"/>
  <c r="AC16" i="23"/>
  <c r="AA16" i="23"/>
  <c r="X16" i="23"/>
  <c r="AE15" i="23"/>
  <c r="AD15" i="23"/>
  <c r="Y15" i="23" s="1"/>
  <c r="Z15" i="23" s="1"/>
  <c r="R15" i="23" s="1"/>
  <c r="S15" i="23"/>
  <c r="O15" i="23"/>
  <c r="N15" i="23"/>
  <c r="AE14" i="23"/>
  <c r="AD14" i="23"/>
  <c r="Y14" i="23" s="1"/>
  <c r="Z14" i="23" s="1"/>
  <c r="R14" i="23" s="1"/>
  <c r="S14" i="23"/>
  <c r="O14" i="23"/>
  <c r="N14" i="23"/>
  <c r="AC15" i="23" l="1"/>
  <c r="X15" i="23"/>
  <c r="AB15" i="23"/>
  <c r="AA15" i="23"/>
  <c r="AC14" i="23"/>
  <c r="X14" i="23"/>
  <c r="AB14" i="23"/>
  <c r="AA14" i="23"/>
  <c r="U283" i="23"/>
  <c r="Q283" i="23"/>
  <c r="AE13" i="23"/>
  <c r="AD13" i="23"/>
  <c r="Y13" i="23" s="1"/>
  <c r="Z13" i="23" s="1"/>
  <c r="R13" i="23" s="1"/>
  <c r="S13" i="23"/>
  <c r="O13" i="23"/>
  <c r="N13" i="23"/>
  <c r="AE12" i="23"/>
  <c r="AD12" i="23"/>
  <c r="Y12" i="23" s="1"/>
  <c r="Z12" i="23" s="1"/>
  <c r="R12" i="23" s="1"/>
  <c r="S12" i="23"/>
  <c r="O12" i="23"/>
  <c r="N12" i="23"/>
  <c r="AE11" i="23"/>
  <c r="AD11" i="23"/>
  <c r="Y11" i="23" s="1"/>
  <c r="Z11" i="23" s="1"/>
  <c r="R11" i="23" s="1"/>
  <c r="S11" i="23"/>
  <c r="O11" i="23"/>
  <c r="N11" i="23"/>
  <c r="AE10" i="23"/>
  <c r="AD10" i="23"/>
  <c r="Y10" i="23" s="1"/>
  <c r="Z10" i="23" s="1"/>
  <c r="R10" i="23" s="1"/>
  <c r="S10" i="23"/>
  <c r="O10" i="23"/>
  <c r="N10" i="23"/>
  <c r="K9" i="23"/>
  <c r="AE9" i="23"/>
  <c r="AD9" i="23"/>
  <c r="S9" i="23"/>
  <c r="O9" i="23"/>
  <c r="Y9" i="23" l="1"/>
  <c r="Z9" i="23" s="1"/>
  <c r="R9" i="23" s="1"/>
  <c r="AC11" i="23"/>
  <c r="X11" i="23"/>
  <c r="AB11" i="23"/>
  <c r="AA11" i="23"/>
  <c r="AB12" i="23"/>
  <c r="X12" i="23"/>
  <c r="AA12" i="23"/>
  <c r="AC12" i="23"/>
  <c r="AA9" i="23"/>
  <c r="AB9" i="23"/>
  <c r="AC9" i="23"/>
  <c r="U9" i="23" s="1"/>
  <c r="X9" i="23"/>
  <c r="AA13" i="23"/>
  <c r="AB13" i="23"/>
  <c r="AC13" i="23"/>
  <c r="X13" i="23"/>
  <c r="AC10" i="23"/>
  <c r="X10" i="23"/>
  <c r="AB10" i="23"/>
  <c r="AA10" i="23"/>
  <c r="U10" i="23"/>
  <c r="M9" i="23"/>
  <c r="M3" i="23" s="1"/>
  <c r="J3" i="23"/>
  <c r="O3" i="23" s="1"/>
  <c r="L9" i="23"/>
  <c r="E3" i="23" s="1"/>
  <c r="N9" i="23"/>
  <c r="A8" i="23" l="1"/>
  <c r="A9" i="23" s="1"/>
  <c r="AE8" i="23" l="1"/>
  <c r="AD8" i="23"/>
  <c r="Y8" i="23" s="1"/>
  <c r="Z8" i="23" s="1"/>
  <c r="R8" i="23" s="1"/>
  <c r="S8" i="23"/>
  <c r="O8" i="23"/>
  <c r="N8" i="23"/>
  <c r="AB8" i="23" l="1"/>
  <c r="X8" i="23"/>
  <c r="AA8" i="23"/>
  <c r="AC8" i="23"/>
  <c r="BB1" i="21"/>
  <c r="AZ9" i="21" s="1"/>
  <c r="F23" i="3" l="1"/>
  <c r="F24" i="3"/>
  <c r="F25" i="3"/>
  <c r="F31" i="3"/>
  <c r="F32" i="3"/>
  <c r="F33" i="3"/>
  <c r="F34" i="3"/>
  <c r="F35" i="3"/>
  <c r="F36" i="3"/>
  <c r="F16" i="3"/>
  <c r="F17" i="3"/>
  <c r="F18" i="3"/>
  <c r="F19" i="3"/>
  <c r="F20" i="3"/>
  <c r="F21" i="3"/>
  <c r="F22" i="3"/>
  <c r="D13" i="3"/>
  <c r="D9" i="3"/>
  <c r="D11" i="3"/>
  <c r="D12" i="3"/>
  <c r="Q349" i="23" l="1"/>
  <c r="Q310" i="23"/>
  <c r="Q291" i="23"/>
  <c r="Q257" i="23"/>
  <c r="Q375" i="23"/>
  <c r="Q350" i="23"/>
  <c r="Q336" i="23"/>
  <c r="Q328" i="23"/>
  <c r="Q311" i="23"/>
  <c r="Q307" i="23"/>
  <c r="Q317" i="23"/>
  <c r="Q278" i="23"/>
  <c r="Q282" i="23"/>
  <c r="Q285" i="23"/>
  <c r="Q271" i="23"/>
  <c r="Q251" i="23"/>
  <c r="Q256" i="23"/>
  <c r="Q263" i="23"/>
  <c r="Q319" i="23"/>
  <c r="Q306" i="23"/>
  <c r="Q290" i="23"/>
  <c r="Q276" i="23"/>
  <c r="Q250" i="23"/>
  <c r="Q246" i="23"/>
  <c r="Q374" i="23"/>
  <c r="Q373" i="23"/>
  <c r="Q338" i="23"/>
  <c r="Q300" i="23"/>
  <c r="Q269" i="23"/>
  <c r="Q308" i="23"/>
  <c r="Q289" i="23"/>
  <c r="Q284" i="23"/>
  <c r="Q262" i="23"/>
  <c r="Q248" i="23"/>
  <c r="Q330" i="23"/>
  <c r="Q305" i="23"/>
  <c r="Q288" i="23"/>
  <c r="Q277" i="23"/>
  <c r="Q270" i="23"/>
  <c r="Q255" i="23"/>
  <c r="Q245" i="23"/>
  <c r="Q221" i="23"/>
  <c r="Q220" i="23"/>
  <c r="Q219" i="23"/>
  <c r="Q196" i="23"/>
  <c r="Q177" i="23"/>
  <c r="Q160" i="23"/>
  <c r="Q159" i="23"/>
  <c r="Q165" i="23"/>
  <c r="Q161" i="23"/>
  <c r="Q127" i="23"/>
  <c r="Q115" i="23"/>
  <c r="Q96" i="23"/>
  <c r="Q97" i="23"/>
  <c r="Q100" i="23"/>
  <c r="Q155" i="23"/>
  <c r="Q108" i="23"/>
  <c r="Q98" i="23"/>
  <c r="Q101" i="23"/>
  <c r="Q99" i="23"/>
  <c r="Q106" i="23"/>
  <c r="Q84" i="23"/>
  <c r="Q45" i="23"/>
  <c r="I13" i="24"/>
  <c r="P13" i="24" s="1"/>
  <c r="AE13" i="24"/>
  <c r="X13" i="24"/>
  <c r="U13" i="24"/>
  <c r="Q13" i="24"/>
  <c r="M13" i="24"/>
  <c r="AF12" i="24"/>
  <c r="AE12" i="24"/>
  <c r="AD12" i="24"/>
  <c r="W12" i="24" s="1"/>
  <c r="AC12" i="24"/>
  <c r="AB12" i="24"/>
  <c r="AA12" i="24"/>
  <c r="X12" i="24"/>
  <c r="Y12" i="24" s="1"/>
  <c r="S12" i="24" s="1"/>
  <c r="U12" i="24"/>
  <c r="R12" i="24"/>
  <c r="AJ12" i="24" s="1"/>
  <c r="Q12" i="24"/>
  <c r="P12" i="24"/>
  <c r="N12" i="24"/>
  <c r="O12" i="24" s="1"/>
  <c r="M12" i="24"/>
  <c r="N8" i="24"/>
  <c r="O8" i="24" s="1"/>
  <c r="AA8" i="24"/>
  <c r="M8" i="24"/>
  <c r="AF11" i="24"/>
  <c r="AE11" i="24"/>
  <c r="AD11" i="24"/>
  <c r="W11" i="24" s="1"/>
  <c r="AC11" i="24"/>
  <c r="AB11" i="24"/>
  <c r="AA11" i="24"/>
  <c r="X11" i="24"/>
  <c r="Y11" i="24" s="1"/>
  <c r="U11" i="24"/>
  <c r="R11" i="24"/>
  <c r="AI11" i="24" s="1"/>
  <c r="Q11" i="24"/>
  <c r="P11" i="24"/>
  <c r="M11" i="24"/>
  <c r="AF10" i="24"/>
  <c r="AE10" i="24"/>
  <c r="X10" i="24"/>
  <c r="Y10" i="24" s="1"/>
  <c r="U10" i="24"/>
  <c r="R10" i="24"/>
  <c r="AJ10" i="24" s="1"/>
  <c r="L10" i="24"/>
  <c r="M10" i="24" s="1"/>
  <c r="K10" i="24"/>
  <c r="AF9" i="24"/>
  <c r="AE9" i="24"/>
  <c r="X9" i="24"/>
  <c r="U9" i="24"/>
  <c r="R9" i="24"/>
  <c r="AI9" i="24" s="1"/>
  <c r="Q9" i="24"/>
  <c r="P9" i="24"/>
  <c r="M9" i="24"/>
  <c r="AF8" i="24"/>
  <c r="AE8" i="24"/>
  <c r="AD8" i="24"/>
  <c r="W8" i="24" s="1"/>
  <c r="AC8" i="24"/>
  <c r="AB8" i="24"/>
  <c r="X8" i="24"/>
  <c r="U8" i="24"/>
  <c r="R8" i="24"/>
  <c r="AJ8" i="24" s="1"/>
  <c r="Q8" i="24"/>
  <c r="P8" i="24"/>
  <c r="A8" i="24"/>
  <c r="A9" i="24" s="1"/>
  <c r="A10" i="24" s="1"/>
  <c r="A11" i="24" s="1"/>
  <c r="A12" i="24" s="1"/>
  <c r="A13" i="24" s="1"/>
  <c r="A14" i="24" s="1"/>
  <c r="D8" i="3"/>
  <c r="D7" i="3"/>
  <c r="U252" i="23" l="1"/>
  <c r="U280" i="23"/>
  <c r="U313" i="23"/>
  <c r="U332" i="23"/>
  <c r="U345" i="23"/>
  <c r="U360" i="23"/>
  <c r="U279" i="23"/>
  <c r="U324" i="23"/>
  <c r="U351" i="23"/>
  <c r="U361" i="23"/>
  <c r="U299" i="23"/>
  <c r="U318" i="23"/>
  <c r="U312" i="23"/>
  <c r="U329" i="23"/>
  <c r="U362" i="23"/>
  <c r="U376" i="23"/>
  <c r="U281" i="23"/>
  <c r="U367" i="23"/>
  <c r="U316" i="23"/>
  <c r="U265" i="23"/>
  <c r="U267" i="23"/>
  <c r="U302" i="23"/>
  <c r="U303" i="23"/>
  <c r="U346" i="23"/>
  <c r="U364" i="23"/>
  <c r="U301" i="23"/>
  <c r="U347" i="23"/>
  <c r="U365" i="23"/>
  <c r="U286" i="23"/>
  <c r="U348" i="23"/>
  <c r="U366" i="23"/>
  <c r="U355" i="23"/>
  <c r="U371" i="23"/>
  <c r="U298" i="23"/>
  <c r="U380" i="23"/>
  <c r="U368" i="23"/>
  <c r="U273" i="23"/>
  <c r="U327" i="23"/>
  <c r="U353" i="23"/>
  <c r="U369" i="23"/>
  <c r="U266" i="23"/>
  <c r="U309" i="23"/>
  <c r="U339" i="23"/>
  <c r="U354" i="23"/>
  <c r="U370" i="23"/>
  <c r="U323" i="23"/>
  <c r="U340" i="23"/>
  <c r="U359" i="23"/>
  <c r="U379" i="23"/>
  <c r="U274" i="23"/>
  <c r="U287" i="23"/>
  <c r="U314" i="23"/>
  <c r="U325" i="23"/>
  <c r="U356" i="23"/>
  <c r="U377" i="23"/>
  <c r="U272" i="23"/>
  <c r="U357" i="23"/>
  <c r="U264" i="23"/>
  <c r="U275" i="23"/>
  <c r="U297" i="23"/>
  <c r="U331" i="23"/>
  <c r="U341" i="23"/>
  <c r="U358" i="23"/>
  <c r="U295" i="23"/>
  <c r="U315" i="23"/>
  <c r="U352" i="23"/>
  <c r="U363" i="23"/>
  <c r="U378" i="23"/>
  <c r="Q252" i="23"/>
  <c r="Q280" i="23"/>
  <c r="Q313" i="23"/>
  <c r="Q332" i="23"/>
  <c r="Q345" i="23"/>
  <c r="Q360" i="23"/>
  <c r="Q372" i="23"/>
  <c r="Q279" i="23"/>
  <c r="Q324" i="23"/>
  <c r="Q351" i="23"/>
  <c r="Q361" i="23"/>
  <c r="Q299" i="23"/>
  <c r="Q318" i="23"/>
  <c r="Q312" i="23"/>
  <c r="Q329" i="23"/>
  <c r="Q362" i="23"/>
  <c r="Q376" i="23"/>
  <c r="Q281" i="23"/>
  <c r="Q304" i="23"/>
  <c r="Q335" i="23"/>
  <c r="Q367" i="23"/>
  <c r="Q292" i="23"/>
  <c r="Q316" i="23"/>
  <c r="Q265" i="23"/>
  <c r="Q267" i="23"/>
  <c r="Q294" i="23"/>
  <c r="Q302" i="23"/>
  <c r="Q303" i="23"/>
  <c r="Q333" i="23"/>
  <c r="Q346" i="23"/>
  <c r="Q364" i="23"/>
  <c r="Q268" i="23"/>
  <c r="Q293" i="23"/>
  <c r="Q301" i="23"/>
  <c r="Q334" i="23"/>
  <c r="Q347" i="23"/>
  <c r="Q365" i="23"/>
  <c r="Q258" i="23"/>
  <c r="Q286" i="23"/>
  <c r="Q348" i="23"/>
  <c r="Q366" i="23"/>
  <c r="Q320" i="23"/>
  <c r="Q344" i="23"/>
  <c r="Q355" i="23"/>
  <c r="Q371" i="23"/>
  <c r="Q254" i="23"/>
  <c r="Q298" i="23"/>
  <c r="Q322" i="23"/>
  <c r="Q337" i="23"/>
  <c r="Q380" i="23"/>
  <c r="Q368" i="23"/>
  <c r="Q273" i="23"/>
  <c r="Q327" i="23"/>
  <c r="Q353" i="23"/>
  <c r="Q369" i="23"/>
  <c r="Q266" i="23"/>
  <c r="Q261" i="23"/>
  <c r="Q309" i="23"/>
  <c r="Q339" i="23"/>
  <c r="Q354" i="23"/>
  <c r="Q370" i="23"/>
  <c r="Q260" i="23"/>
  <c r="Q323" i="23"/>
  <c r="Q340" i="23"/>
  <c r="Q359" i="23"/>
  <c r="Q379" i="23"/>
  <c r="Q253" i="23"/>
  <c r="Q274" i="23"/>
  <c r="Q249" i="23"/>
  <c r="Q287" i="23"/>
  <c r="Q314" i="23"/>
  <c r="Q325" i="23"/>
  <c r="Q343" i="23"/>
  <c r="Q356" i="23"/>
  <c r="Q377" i="23"/>
  <c r="Q259" i="23"/>
  <c r="Q272" i="23"/>
  <c r="Q326" i="23"/>
  <c r="Q342" i="23"/>
  <c r="Q357" i="23"/>
  <c r="Q264" i="23"/>
  <c r="Q275" i="23"/>
  <c r="Q247" i="23"/>
  <c r="Q297" i="23"/>
  <c r="Q296" i="23"/>
  <c r="Q331" i="23"/>
  <c r="Q341" i="23"/>
  <c r="Q358" i="23"/>
  <c r="Q295" i="23"/>
  <c r="Q315" i="23"/>
  <c r="Q321" i="23"/>
  <c r="Q352" i="23"/>
  <c r="Q363" i="23"/>
  <c r="Q378" i="23"/>
  <c r="U234" i="23"/>
  <c r="U242" i="23"/>
  <c r="U227" i="23"/>
  <c r="U232" i="23"/>
  <c r="U224" i="23"/>
  <c r="U226" i="23"/>
  <c r="U229" i="23"/>
  <c r="U225" i="23"/>
  <c r="U223" i="23"/>
  <c r="U239" i="23"/>
  <c r="U241" i="23"/>
  <c r="U236" i="23"/>
  <c r="U217" i="23"/>
  <c r="U235" i="23"/>
  <c r="U238" i="23"/>
  <c r="U233" i="23"/>
  <c r="U228" i="23"/>
  <c r="U237" i="23"/>
  <c r="U244" i="23"/>
  <c r="Q234" i="23"/>
  <c r="Q231" i="23"/>
  <c r="Q242" i="23"/>
  <c r="Q222" i="23"/>
  <c r="Q218" i="23"/>
  <c r="Q227" i="23"/>
  <c r="Q232" i="23"/>
  <c r="Q224" i="23"/>
  <c r="Q240" i="23"/>
  <c r="Q226" i="23"/>
  <c r="Q229" i="23"/>
  <c r="Q225" i="23"/>
  <c r="Q230" i="23"/>
  <c r="Q223" i="23"/>
  <c r="Q239" i="23"/>
  <c r="Q241" i="23"/>
  <c r="Q236" i="23"/>
  <c r="Q217" i="23"/>
  <c r="Q235" i="23"/>
  <c r="Q238" i="23"/>
  <c r="Q233" i="23"/>
  <c r="Q228" i="23"/>
  <c r="Q243" i="23"/>
  <c r="Q237" i="23"/>
  <c r="Q244" i="23"/>
  <c r="U214" i="23"/>
  <c r="U215" i="23"/>
  <c r="Q214" i="23"/>
  <c r="Q215" i="23"/>
  <c r="U198" i="23"/>
  <c r="U197" i="23"/>
  <c r="Q198" i="23"/>
  <c r="Q197" i="23"/>
  <c r="U202" i="23"/>
  <c r="U201" i="23"/>
  <c r="U211" i="23"/>
  <c r="U196" i="23"/>
  <c r="U200" i="23"/>
  <c r="U213" i="23"/>
  <c r="U209" i="23"/>
  <c r="U208" i="23"/>
  <c r="U203" i="23"/>
  <c r="U199" i="23"/>
  <c r="U206" i="23"/>
  <c r="U216" i="23"/>
  <c r="Q202" i="23"/>
  <c r="Q201" i="23"/>
  <c r="Q211" i="23"/>
  <c r="Q204" i="23"/>
  <c r="Q207" i="23"/>
  <c r="Q200" i="23"/>
  <c r="Q213" i="23"/>
  <c r="Q209" i="23"/>
  <c r="Q208" i="23"/>
  <c r="Q205" i="23"/>
  <c r="Q203" i="23"/>
  <c r="Q210" i="23"/>
  <c r="Q199" i="23"/>
  <c r="Q212" i="23"/>
  <c r="Q206" i="23"/>
  <c r="Q216" i="23"/>
  <c r="U188" i="23"/>
  <c r="U191" i="23"/>
  <c r="U179" i="23"/>
  <c r="U190" i="23"/>
  <c r="U180" i="23"/>
  <c r="U189" i="23"/>
  <c r="U192" i="23"/>
  <c r="Q195" i="23"/>
  <c r="Q188" i="23"/>
  <c r="Q191" i="23"/>
  <c r="Q184" i="23"/>
  <c r="Q185" i="23"/>
  <c r="Q179" i="23"/>
  <c r="Q194" i="23"/>
  <c r="Q193" i="23"/>
  <c r="Q190" i="23"/>
  <c r="Q183" i="23"/>
  <c r="Q186" i="23"/>
  <c r="Q180" i="23"/>
  <c r="Q189" i="23"/>
  <c r="Q187" i="23"/>
  <c r="Q192" i="23"/>
  <c r="Q181" i="23"/>
  <c r="Q182" i="23"/>
  <c r="Q178" i="23"/>
  <c r="U171" i="23"/>
  <c r="U173" i="23"/>
  <c r="U174" i="23"/>
  <c r="U166" i="23"/>
  <c r="U168" i="23"/>
  <c r="U164" i="23"/>
  <c r="U176" i="23"/>
  <c r="U172" i="23"/>
  <c r="U169" i="23"/>
  <c r="U175" i="23"/>
  <c r="Q171" i="23"/>
  <c r="Q173" i="23"/>
  <c r="Q163" i="23"/>
  <c r="Q162" i="23"/>
  <c r="Q170" i="23"/>
  <c r="Q174" i="23"/>
  <c r="Q166" i="23"/>
  <c r="Q168" i="23"/>
  <c r="Q164" i="23"/>
  <c r="Q176" i="23"/>
  <c r="Q172" i="23"/>
  <c r="Q169" i="23"/>
  <c r="Q167" i="23"/>
  <c r="Q175" i="23"/>
  <c r="U158" i="23"/>
  <c r="Q158" i="23"/>
  <c r="U123" i="23"/>
  <c r="U156" i="23"/>
  <c r="U130" i="23"/>
  <c r="U138" i="23"/>
  <c r="U154" i="23"/>
  <c r="U126" i="23"/>
  <c r="U124" i="23"/>
  <c r="U120" i="23"/>
  <c r="U129" i="23"/>
  <c r="U128" i="23"/>
  <c r="U140" i="23"/>
  <c r="U135" i="23"/>
  <c r="U122" i="23"/>
  <c r="U133" i="23"/>
  <c r="U142" i="23"/>
  <c r="U132" i="23"/>
  <c r="U121" i="23"/>
  <c r="U131" i="23"/>
  <c r="U134" i="23"/>
  <c r="U125" i="23"/>
  <c r="U153" i="23"/>
  <c r="U143" i="23"/>
  <c r="Q123" i="23"/>
  <c r="Q156" i="23"/>
  <c r="Q102" i="23"/>
  <c r="Q130" i="23"/>
  <c r="Q138" i="23"/>
  <c r="Q154" i="23"/>
  <c r="Q118" i="23"/>
  <c r="Q137" i="23"/>
  <c r="Q144" i="23"/>
  <c r="Q126" i="23"/>
  <c r="Q107" i="23"/>
  <c r="Q124" i="23"/>
  <c r="Q151" i="23"/>
  <c r="Q139" i="23"/>
  <c r="Q95" i="23"/>
  <c r="Q120" i="23"/>
  <c r="Q129" i="23"/>
  <c r="Q141" i="23"/>
  <c r="Q105" i="23"/>
  <c r="Q128" i="23"/>
  <c r="Q140" i="23"/>
  <c r="Q135" i="23"/>
  <c r="Q117" i="23"/>
  <c r="Q136" i="23"/>
  <c r="Q148" i="23"/>
  <c r="Q109" i="23"/>
  <c r="Q152" i="23"/>
  <c r="Q112" i="23"/>
  <c r="Q122" i="23"/>
  <c r="Q147" i="23"/>
  <c r="Q119" i="23"/>
  <c r="Q110" i="23"/>
  <c r="Q133" i="23"/>
  <c r="Q145" i="23"/>
  <c r="Q142" i="23"/>
  <c r="Q103" i="23"/>
  <c r="Q132" i="23"/>
  <c r="Q121" i="23"/>
  <c r="Q146" i="23"/>
  <c r="Q131" i="23"/>
  <c r="Q150" i="23"/>
  <c r="Q104" i="23"/>
  <c r="Q111" i="23"/>
  <c r="Q134" i="23"/>
  <c r="Q149" i="23"/>
  <c r="Q116" i="23"/>
  <c r="Q125" i="23"/>
  <c r="Q153" i="23"/>
  <c r="Q114" i="23"/>
  <c r="Q113" i="23"/>
  <c r="Q143" i="23"/>
  <c r="Q157" i="23"/>
  <c r="U57" i="23"/>
  <c r="U52" i="23"/>
  <c r="U82" i="23"/>
  <c r="U67" i="23"/>
  <c r="U66" i="23"/>
  <c r="U50" i="23"/>
  <c r="U83" i="23"/>
  <c r="U75" i="23"/>
  <c r="U55" i="23"/>
  <c r="U86" i="23"/>
  <c r="U78" i="23"/>
  <c r="U76" i="23"/>
  <c r="U73" i="23"/>
  <c r="U59" i="23"/>
  <c r="U70" i="23"/>
  <c r="U71" i="23"/>
  <c r="U53" i="23"/>
  <c r="U80" i="23"/>
  <c r="U61" i="23"/>
  <c r="U74" i="23"/>
  <c r="U72" i="23"/>
  <c r="U79" i="23"/>
  <c r="Q64" i="23"/>
  <c r="Q57" i="23"/>
  <c r="Q77" i="23"/>
  <c r="Q92" i="23"/>
  <c r="Q60" i="23"/>
  <c r="Q52" i="23"/>
  <c r="Q63" i="23"/>
  <c r="Q82" i="23"/>
  <c r="Q69" i="23"/>
  <c r="Q67" i="23"/>
  <c r="Q66" i="23"/>
  <c r="Q93" i="23"/>
  <c r="Q65" i="23"/>
  <c r="Q81" i="23"/>
  <c r="Q50" i="23"/>
  <c r="Q83" i="23"/>
  <c r="Q75" i="23"/>
  <c r="Q55" i="23"/>
  <c r="Q68" i="23"/>
  <c r="Q86" i="23"/>
  <c r="Q78" i="23"/>
  <c r="Q76" i="23"/>
  <c r="Q54" i="23"/>
  <c r="Q73" i="23"/>
  <c r="Q85" i="23"/>
  <c r="Q59" i="23"/>
  <c r="Q90" i="23"/>
  <c r="Q70" i="23"/>
  <c r="Q58" i="23"/>
  <c r="Q71" i="23"/>
  <c r="Q91" i="23"/>
  <c r="Q62" i="23"/>
  <c r="Q53" i="23"/>
  <c r="Q87" i="23"/>
  <c r="Q80" i="23"/>
  <c r="Q61" i="23"/>
  <c r="Q74" i="23"/>
  <c r="Q89" i="23"/>
  <c r="Q72" i="23"/>
  <c r="Q51" i="23"/>
  <c r="Q88" i="23"/>
  <c r="Q56" i="23"/>
  <c r="Q79" i="23"/>
  <c r="Q94" i="23"/>
  <c r="U38" i="23"/>
  <c r="U42" i="23"/>
  <c r="U48" i="23"/>
  <c r="U37" i="23"/>
  <c r="U39" i="23"/>
  <c r="U43" i="23"/>
  <c r="U46" i="23"/>
  <c r="U35" i="23"/>
  <c r="U40" i="23"/>
  <c r="U47" i="23"/>
  <c r="U36" i="23"/>
  <c r="U41" i="23"/>
  <c r="U45" i="23"/>
  <c r="Q38" i="23"/>
  <c r="Q42" i="23"/>
  <c r="Q48" i="23"/>
  <c r="Q37" i="23"/>
  <c r="Q39" i="23"/>
  <c r="Q43" i="23"/>
  <c r="Q46" i="23"/>
  <c r="Q35" i="23"/>
  <c r="Q40" i="23"/>
  <c r="Q47" i="23"/>
  <c r="Q44" i="23"/>
  <c r="Q36" i="23"/>
  <c r="Q41" i="23"/>
  <c r="Q49" i="23"/>
  <c r="U8" i="23"/>
  <c r="Q8" i="23"/>
  <c r="Q34" i="23"/>
  <c r="Q33" i="23"/>
  <c r="U27" i="23"/>
  <c r="U29" i="23"/>
  <c r="U32" i="23"/>
  <c r="U28" i="23"/>
  <c r="Q27" i="23"/>
  <c r="Q30" i="23"/>
  <c r="Q26" i="23"/>
  <c r="Q31" i="23"/>
  <c r="Q29" i="23"/>
  <c r="Q32" i="23"/>
  <c r="Q28" i="23"/>
  <c r="U12" i="23"/>
  <c r="U17" i="23"/>
  <c r="U19" i="23"/>
  <c r="U15" i="23"/>
  <c r="U25" i="23"/>
  <c r="U20" i="23"/>
  <c r="U11" i="23"/>
  <c r="U14" i="23"/>
  <c r="U13" i="23"/>
  <c r="U22" i="23"/>
  <c r="U16" i="23"/>
  <c r="U18" i="23"/>
  <c r="U23" i="23"/>
  <c r="Q12" i="23"/>
  <c r="Q17" i="23"/>
  <c r="Q19" i="23"/>
  <c r="Q21" i="23"/>
  <c r="Q15" i="23"/>
  <c r="Q25" i="23"/>
  <c r="Q24" i="23"/>
  <c r="Q20" i="23"/>
  <c r="Q11" i="23"/>
  <c r="Q14" i="23"/>
  <c r="Q10" i="23"/>
  <c r="Q13" i="23"/>
  <c r="Q22" i="23"/>
  <c r="Q16" i="23"/>
  <c r="Q9" i="23"/>
  <c r="Q18" i="23"/>
  <c r="Q23" i="23"/>
  <c r="V12" i="24"/>
  <c r="V13" i="24"/>
  <c r="Y13" i="24"/>
  <c r="S13" i="24" s="1"/>
  <c r="R13" i="24"/>
  <c r="AK13" i="24" s="1"/>
  <c r="AF13" i="24"/>
  <c r="T12" i="24"/>
  <c r="AK12" i="24"/>
  <c r="AG12" i="24"/>
  <c r="AH12" i="24" s="1"/>
  <c r="Z12" i="24"/>
  <c r="AI12" i="24"/>
  <c r="V9" i="24"/>
  <c r="V8" i="24"/>
  <c r="S10" i="24"/>
  <c r="T10" i="24" s="1"/>
  <c r="AG8" i="24"/>
  <c r="AH8" i="24" s="1"/>
  <c r="S11" i="24"/>
  <c r="T11" i="24" s="1"/>
  <c r="Z11" i="24"/>
  <c r="AI8" i="24"/>
  <c r="AK8" i="24"/>
  <c r="AJ9" i="24"/>
  <c r="Q10" i="24"/>
  <c r="AG10" i="24"/>
  <c r="AK10" i="24"/>
  <c r="AJ11" i="24"/>
  <c r="AG9" i="24"/>
  <c r="AK9" i="24"/>
  <c r="AG11" i="24"/>
  <c r="AK11" i="24"/>
  <c r="AI10" i="24"/>
  <c r="S316" i="24"/>
  <c r="R316" i="24"/>
  <c r="M316" i="24"/>
  <c r="Q316" i="24"/>
  <c r="P316" i="24"/>
  <c r="S315" i="24"/>
  <c r="R315" i="24"/>
  <c r="M315" i="24"/>
  <c r="Q315" i="24"/>
  <c r="P315" i="24"/>
  <c r="S314" i="24"/>
  <c r="R314" i="24"/>
  <c r="M314" i="24"/>
  <c r="Q314" i="24"/>
  <c r="P314" i="24"/>
  <c r="S313" i="24"/>
  <c r="R313" i="24"/>
  <c r="M313" i="24"/>
  <c r="Q313" i="24"/>
  <c r="P313" i="24"/>
  <c r="S312" i="24"/>
  <c r="R312" i="24"/>
  <c r="M312" i="24"/>
  <c r="Q312" i="24"/>
  <c r="P312" i="24"/>
  <c r="S311" i="24"/>
  <c r="R311" i="24"/>
  <c r="M311" i="24"/>
  <c r="Q311" i="24"/>
  <c r="P311" i="24"/>
  <c r="S310" i="24"/>
  <c r="R310" i="24"/>
  <c r="M310" i="24"/>
  <c r="Q310" i="24"/>
  <c r="P310" i="24"/>
  <c r="S309" i="24"/>
  <c r="R309" i="24"/>
  <c r="M309" i="24"/>
  <c r="Q309" i="24"/>
  <c r="P309" i="24"/>
  <c r="S308" i="24"/>
  <c r="R308" i="24"/>
  <c r="M308" i="24"/>
  <c r="Q308" i="24"/>
  <c r="P308" i="24"/>
  <c r="S307" i="24"/>
  <c r="R307" i="24"/>
  <c r="M307" i="24"/>
  <c r="Q307" i="24"/>
  <c r="P307" i="24"/>
  <c r="S306" i="24"/>
  <c r="R306" i="24"/>
  <c r="M306" i="24"/>
  <c r="Q306" i="24"/>
  <c r="P306" i="24"/>
  <c r="S305" i="24"/>
  <c r="R305" i="24"/>
  <c r="M305" i="24"/>
  <c r="Q305" i="24"/>
  <c r="P305" i="24"/>
  <c r="S304" i="24"/>
  <c r="R304" i="24"/>
  <c r="M304" i="24"/>
  <c r="Q304" i="24"/>
  <c r="P304" i="24"/>
  <c r="S303" i="24"/>
  <c r="R303" i="24"/>
  <c r="M303" i="24"/>
  <c r="Q303" i="24"/>
  <c r="P303" i="24"/>
  <c r="S302" i="24"/>
  <c r="R302" i="24"/>
  <c r="M302" i="24"/>
  <c r="Q302" i="24"/>
  <c r="P302" i="24"/>
  <c r="S301" i="24"/>
  <c r="R301" i="24"/>
  <c r="M301" i="24"/>
  <c r="Q301" i="24"/>
  <c r="P301" i="24"/>
  <c r="S300" i="24"/>
  <c r="R300" i="24"/>
  <c r="M300" i="24"/>
  <c r="Q300" i="24"/>
  <c r="P300" i="24"/>
  <c r="S299" i="24"/>
  <c r="R299" i="24"/>
  <c r="M299" i="24"/>
  <c r="Q299" i="24"/>
  <c r="P299" i="24"/>
  <c r="S298" i="24"/>
  <c r="R298" i="24"/>
  <c r="M298" i="24"/>
  <c r="Q298" i="24"/>
  <c r="P298" i="24"/>
  <c r="S297" i="24"/>
  <c r="R297" i="24"/>
  <c r="M297" i="24"/>
  <c r="Q297" i="24"/>
  <c r="P297" i="24"/>
  <c r="S296" i="24"/>
  <c r="R296" i="24"/>
  <c r="M296" i="24"/>
  <c r="Q296" i="24"/>
  <c r="P296" i="24"/>
  <c r="S295" i="24"/>
  <c r="R295" i="24"/>
  <c r="M295" i="24"/>
  <c r="Q295" i="24"/>
  <c r="P295" i="24"/>
  <c r="S294" i="24"/>
  <c r="R294" i="24"/>
  <c r="M294" i="24"/>
  <c r="Q294" i="24"/>
  <c r="P294" i="24"/>
  <c r="S293" i="24"/>
  <c r="R293" i="24"/>
  <c r="M293" i="24"/>
  <c r="Q293" i="24"/>
  <c r="P293" i="24"/>
  <c r="S292" i="24"/>
  <c r="R292" i="24"/>
  <c r="M292" i="24"/>
  <c r="Q292" i="24"/>
  <c r="P292" i="24"/>
  <c r="S291" i="24"/>
  <c r="R291" i="24"/>
  <c r="M291" i="24"/>
  <c r="Q291" i="24"/>
  <c r="P291" i="24"/>
  <c r="S290" i="24"/>
  <c r="R290" i="24"/>
  <c r="M290" i="24"/>
  <c r="Q290" i="24"/>
  <c r="P290" i="24"/>
  <c r="S289" i="24"/>
  <c r="R289" i="24"/>
  <c r="M289" i="24"/>
  <c r="Q289" i="24"/>
  <c r="P289" i="24"/>
  <c r="S288" i="24"/>
  <c r="R288" i="24"/>
  <c r="M288" i="24"/>
  <c r="Q288" i="24"/>
  <c r="P288" i="24"/>
  <c r="S287" i="24"/>
  <c r="R287" i="24"/>
  <c r="M287" i="24"/>
  <c r="Q287" i="24"/>
  <c r="P287" i="24"/>
  <c r="S286" i="24"/>
  <c r="R286" i="24"/>
  <c r="M286" i="24"/>
  <c r="Q286" i="24"/>
  <c r="P286" i="24"/>
  <c r="S285" i="24"/>
  <c r="R285" i="24"/>
  <c r="M285" i="24"/>
  <c r="Q285" i="24"/>
  <c r="P285" i="24"/>
  <c r="S284" i="24"/>
  <c r="R284" i="24"/>
  <c r="M284" i="24"/>
  <c r="Q284" i="24"/>
  <c r="P284" i="24"/>
  <c r="S283" i="24"/>
  <c r="R283" i="24"/>
  <c r="M283" i="24"/>
  <c r="Q283" i="24"/>
  <c r="P283" i="24"/>
  <c r="S282" i="24"/>
  <c r="R282" i="24"/>
  <c r="M282" i="24"/>
  <c r="Q282" i="24"/>
  <c r="P282" i="24"/>
  <c r="S281" i="24"/>
  <c r="R281" i="24"/>
  <c r="M281" i="24"/>
  <c r="Q281" i="24"/>
  <c r="P281" i="24"/>
  <c r="S280" i="24"/>
  <c r="R280" i="24"/>
  <c r="M280" i="24"/>
  <c r="Q280" i="24"/>
  <c r="P280" i="24"/>
  <c r="S279" i="24"/>
  <c r="R279" i="24"/>
  <c r="M279" i="24"/>
  <c r="Q279" i="24"/>
  <c r="P279" i="24"/>
  <c r="S278" i="24"/>
  <c r="R278" i="24"/>
  <c r="M278" i="24"/>
  <c r="Q278" i="24"/>
  <c r="P278" i="24"/>
  <c r="S277" i="24"/>
  <c r="R277" i="24"/>
  <c r="M277" i="24"/>
  <c r="Q277" i="24"/>
  <c r="P277" i="24"/>
  <c r="S276" i="24"/>
  <c r="R276" i="24"/>
  <c r="M276" i="24"/>
  <c r="Q276" i="24"/>
  <c r="P276" i="24"/>
  <c r="S275" i="24"/>
  <c r="R275" i="24"/>
  <c r="M275" i="24"/>
  <c r="Q275" i="24"/>
  <c r="P275" i="24"/>
  <c r="S274" i="24"/>
  <c r="R274" i="24"/>
  <c r="M274" i="24"/>
  <c r="Q274" i="24"/>
  <c r="P274" i="24"/>
  <c r="S273" i="24"/>
  <c r="R273" i="24"/>
  <c r="M273" i="24"/>
  <c r="Q273" i="24"/>
  <c r="P273" i="24"/>
  <c r="S272" i="24"/>
  <c r="R272" i="24"/>
  <c r="M272" i="24"/>
  <c r="Q272" i="24"/>
  <c r="P272" i="24"/>
  <c r="S271" i="24"/>
  <c r="R271" i="24"/>
  <c r="M271" i="24"/>
  <c r="Q271" i="24"/>
  <c r="P271" i="24"/>
  <c r="S270" i="24"/>
  <c r="R270" i="24"/>
  <c r="M270" i="24"/>
  <c r="Q270" i="24"/>
  <c r="P270" i="24"/>
  <c r="S269" i="24"/>
  <c r="R269" i="24"/>
  <c r="M269" i="24"/>
  <c r="Q269" i="24"/>
  <c r="P269" i="24"/>
  <c r="S268" i="24"/>
  <c r="R268" i="24"/>
  <c r="M268" i="24"/>
  <c r="Q268" i="24"/>
  <c r="P268" i="24"/>
  <c r="S267" i="24"/>
  <c r="R267" i="24"/>
  <c r="M267" i="24"/>
  <c r="Q267" i="24"/>
  <c r="P267" i="24"/>
  <c r="S266" i="24"/>
  <c r="R266" i="24"/>
  <c r="M266" i="24"/>
  <c r="Q266" i="24"/>
  <c r="P266" i="24"/>
  <c r="S265" i="24"/>
  <c r="R265" i="24"/>
  <c r="M265" i="24"/>
  <c r="Q265" i="24"/>
  <c r="P265" i="24"/>
  <c r="S264" i="24"/>
  <c r="R264" i="24"/>
  <c r="M264" i="24"/>
  <c r="Q264" i="24"/>
  <c r="P264" i="24"/>
  <c r="S263" i="24"/>
  <c r="R263" i="24"/>
  <c r="M263" i="24"/>
  <c r="Q263" i="24"/>
  <c r="P263" i="24"/>
  <c r="S262" i="24"/>
  <c r="R262" i="24"/>
  <c r="M262" i="24"/>
  <c r="Q262" i="24"/>
  <c r="P262" i="24"/>
  <c r="S261" i="24"/>
  <c r="R261" i="24"/>
  <c r="M261" i="24"/>
  <c r="Q261" i="24"/>
  <c r="P261" i="24"/>
  <c r="S260" i="24"/>
  <c r="R260" i="24"/>
  <c r="M260" i="24"/>
  <c r="Q260" i="24"/>
  <c r="P260" i="24"/>
  <c r="S259" i="24"/>
  <c r="R259" i="24"/>
  <c r="M259" i="24"/>
  <c r="Q259" i="24"/>
  <c r="P259" i="24"/>
  <c r="S258" i="24"/>
  <c r="R258" i="24"/>
  <c r="M258" i="24"/>
  <c r="Q258" i="24"/>
  <c r="P258" i="24"/>
  <c r="S257" i="24"/>
  <c r="R257" i="24"/>
  <c r="M257" i="24"/>
  <c r="Q257" i="24"/>
  <c r="P257" i="24"/>
  <c r="S256" i="24"/>
  <c r="R256" i="24"/>
  <c r="M256" i="24"/>
  <c r="Q256" i="24"/>
  <c r="P256" i="24"/>
  <c r="S255" i="24"/>
  <c r="R255" i="24"/>
  <c r="M255" i="24"/>
  <c r="Q255" i="24"/>
  <c r="P255" i="24"/>
  <c r="S254" i="24"/>
  <c r="R254" i="24"/>
  <c r="M254" i="24"/>
  <c r="Q254" i="24"/>
  <c r="P254" i="24"/>
  <c r="S253" i="24"/>
  <c r="R253" i="24"/>
  <c r="M253" i="24"/>
  <c r="Q253" i="24"/>
  <c r="P253" i="24"/>
  <c r="S252" i="24"/>
  <c r="R252" i="24"/>
  <c r="M252" i="24"/>
  <c r="Q252" i="24"/>
  <c r="P252" i="24"/>
  <c r="S251" i="24"/>
  <c r="R251" i="24"/>
  <c r="M251" i="24"/>
  <c r="Q251" i="24"/>
  <c r="P251" i="24"/>
  <c r="S250" i="24"/>
  <c r="R250" i="24"/>
  <c r="M250" i="24"/>
  <c r="Q250" i="24"/>
  <c r="P250" i="24"/>
  <c r="S249" i="24"/>
  <c r="R249" i="24"/>
  <c r="M249" i="24"/>
  <c r="Q249" i="24"/>
  <c r="P249" i="24"/>
  <c r="S248" i="24"/>
  <c r="R248" i="24"/>
  <c r="M248" i="24"/>
  <c r="Q248" i="24"/>
  <c r="P248" i="24"/>
  <c r="S247" i="24"/>
  <c r="R247" i="24"/>
  <c r="M247" i="24"/>
  <c r="Q247" i="24"/>
  <c r="P247" i="24"/>
  <c r="S246" i="24"/>
  <c r="R246" i="24"/>
  <c r="M246" i="24"/>
  <c r="Q246" i="24"/>
  <c r="P246" i="24"/>
  <c r="S245" i="24"/>
  <c r="R245" i="24"/>
  <c r="M245" i="24"/>
  <c r="Q245" i="24"/>
  <c r="P245" i="24"/>
  <c r="S244" i="24"/>
  <c r="R244" i="24"/>
  <c r="M244" i="24"/>
  <c r="Q244" i="24"/>
  <c r="P244" i="24"/>
  <c r="S243" i="24"/>
  <c r="R243" i="24"/>
  <c r="M243" i="24"/>
  <c r="Q243" i="24"/>
  <c r="P243" i="24"/>
  <c r="S242" i="24"/>
  <c r="R242" i="24"/>
  <c r="M242" i="24"/>
  <c r="Q242" i="24"/>
  <c r="P242" i="24"/>
  <c r="S241" i="24"/>
  <c r="R241" i="24"/>
  <c r="M241" i="24"/>
  <c r="Q241" i="24"/>
  <c r="P241" i="24"/>
  <c r="S240" i="24"/>
  <c r="R240" i="24"/>
  <c r="M240" i="24"/>
  <c r="Q240" i="24"/>
  <c r="P240" i="24"/>
  <c r="S239" i="24"/>
  <c r="R239" i="24"/>
  <c r="M239" i="24"/>
  <c r="Q239" i="24"/>
  <c r="P239" i="24"/>
  <c r="S238" i="24"/>
  <c r="R238" i="24"/>
  <c r="M238" i="24"/>
  <c r="Q238" i="24"/>
  <c r="P238" i="24"/>
  <c r="S237" i="24"/>
  <c r="R237" i="24"/>
  <c r="M237" i="24"/>
  <c r="Q237" i="24"/>
  <c r="P237" i="24"/>
  <c r="S236" i="24"/>
  <c r="R236" i="24"/>
  <c r="M236" i="24"/>
  <c r="Q236" i="24"/>
  <c r="P236" i="24"/>
  <c r="S235" i="24"/>
  <c r="R235" i="24"/>
  <c r="M235" i="24"/>
  <c r="Q235" i="24"/>
  <c r="P235" i="24"/>
  <c r="S234" i="24"/>
  <c r="R234" i="24"/>
  <c r="M234" i="24"/>
  <c r="Q234" i="24"/>
  <c r="P234" i="24"/>
  <c r="S233" i="24"/>
  <c r="R233" i="24"/>
  <c r="M233" i="24"/>
  <c r="Q233" i="24"/>
  <c r="P233" i="24"/>
  <c r="S232" i="24"/>
  <c r="R232" i="24"/>
  <c r="M232" i="24"/>
  <c r="Q232" i="24"/>
  <c r="P232" i="24"/>
  <c r="S231" i="24"/>
  <c r="R231" i="24"/>
  <c r="M231" i="24"/>
  <c r="Q231" i="24"/>
  <c r="P231" i="24"/>
  <c r="S230" i="24"/>
  <c r="R230" i="24"/>
  <c r="M230" i="24"/>
  <c r="Q230" i="24"/>
  <c r="P230" i="24"/>
  <c r="S229" i="24"/>
  <c r="R229" i="24"/>
  <c r="M229" i="24"/>
  <c r="Q229" i="24"/>
  <c r="P229" i="24"/>
  <c r="S228" i="24"/>
  <c r="R228" i="24"/>
  <c r="M228" i="24"/>
  <c r="Q228" i="24"/>
  <c r="P228" i="24"/>
  <c r="S227" i="24"/>
  <c r="R227" i="24"/>
  <c r="M227" i="24"/>
  <c r="Q227" i="24"/>
  <c r="P227" i="24"/>
  <c r="S226" i="24"/>
  <c r="R226" i="24"/>
  <c r="M226" i="24"/>
  <c r="Q226" i="24"/>
  <c r="P226" i="24"/>
  <c r="S225" i="24"/>
  <c r="R225" i="24"/>
  <c r="M225" i="24"/>
  <c r="Q225" i="24"/>
  <c r="P225" i="24"/>
  <c r="S224" i="24"/>
  <c r="R224" i="24"/>
  <c r="M224" i="24"/>
  <c r="Q224" i="24"/>
  <c r="P224" i="24"/>
  <c r="S223" i="24"/>
  <c r="R223" i="24"/>
  <c r="M223" i="24"/>
  <c r="Q223" i="24"/>
  <c r="P223" i="24"/>
  <c r="S222" i="24"/>
  <c r="R222" i="24"/>
  <c r="M222" i="24"/>
  <c r="Q222" i="24"/>
  <c r="P222" i="24"/>
  <c r="S221" i="24"/>
  <c r="R221" i="24"/>
  <c r="M221" i="24"/>
  <c r="Q221" i="24"/>
  <c r="P221" i="24"/>
  <c r="S220" i="24"/>
  <c r="R220" i="24"/>
  <c r="M220" i="24"/>
  <c r="Q220" i="24"/>
  <c r="P220" i="24"/>
  <c r="S219" i="24"/>
  <c r="R219" i="24"/>
  <c r="M219" i="24"/>
  <c r="Q219" i="24"/>
  <c r="P219" i="24"/>
  <c r="S218" i="24"/>
  <c r="R218" i="24"/>
  <c r="M218" i="24"/>
  <c r="Q218" i="24"/>
  <c r="P218" i="24"/>
  <c r="S217" i="24"/>
  <c r="R217" i="24"/>
  <c r="M217" i="24"/>
  <c r="Q217" i="24"/>
  <c r="P217" i="24"/>
  <c r="S216" i="24"/>
  <c r="R216" i="24"/>
  <c r="M216" i="24"/>
  <c r="Q216" i="24"/>
  <c r="P216" i="24"/>
  <c r="S215" i="24"/>
  <c r="R215" i="24"/>
  <c r="M215" i="24"/>
  <c r="Q215" i="24"/>
  <c r="P215" i="24"/>
  <c r="S214" i="24"/>
  <c r="R214" i="24"/>
  <c r="M214" i="24"/>
  <c r="Q214" i="24"/>
  <c r="P214" i="24"/>
  <c r="S213" i="24"/>
  <c r="R213" i="24"/>
  <c r="M213" i="24"/>
  <c r="Q213" i="24"/>
  <c r="P213" i="24"/>
  <c r="S212" i="24"/>
  <c r="R212" i="24"/>
  <c r="M212" i="24"/>
  <c r="Q212" i="24"/>
  <c r="P212" i="24"/>
  <c r="S211" i="24"/>
  <c r="R211" i="24"/>
  <c r="M211" i="24"/>
  <c r="Q211" i="24"/>
  <c r="P211" i="24"/>
  <c r="S210" i="24"/>
  <c r="R210" i="24"/>
  <c r="M210" i="24"/>
  <c r="Q210" i="24"/>
  <c r="P210" i="24"/>
  <c r="S209" i="24"/>
  <c r="R209" i="24"/>
  <c r="M209" i="24"/>
  <c r="Q209" i="24"/>
  <c r="P209" i="24"/>
  <c r="S208" i="24"/>
  <c r="R208" i="24"/>
  <c r="M208" i="24"/>
  <c r="Q208" i="24"/>
  <c r="P208" i="24"/>
  <c r="S207" i="24"/>
  <c r="R207" i="24"/>
  <c r="M207" i="24"/>
  <c r="Q207" i="24"/>
  <c r="P207" i="24"/>
  <c r="S206" i="24"/>
  <c r="R206" i="24"/>
  <c r="M206" i="24"/>
  <c r="Q206" i="24"/>
  <c r="P206" i="24"/>
  <c r="S205" i="24"/>
  <c r="R205" i="24"/>
  <c r="M205" i="24"/>
  <c r="Q205" i="24"/>
  <c r="P205" i="24"/>
  <c r="S204" i="24"/>
  <c r="R204" i="24"/>
  <c r="M204" i="24"/>
  <c r="Q204" i="24"/>
  <c r="P204" i="24"/>
  <c r="S203" i="24"/>
  <c r="R203" i="24"/>
  <c r="M203" i="24"/>
  <c r="Q203" i="24"/>
  <c r="P203" i="24"/>
  <c r="S202" i="24"/>
  <c r="R202" i="24"/>
  <c r="M202" i="24"/>
  <c r="Q202" i="24"/>
  <c r="P202" i="24"/>
  <c r="S201" i="24"/>
  <c r="R201" i="24"/>
  <c r="M201" i="24"/>
  <c r="Q201" i="24"/>
  <c r="P201" i="24"/>
  <c r="S200" i="24"/>
  <c r="R200" i="24"/>
  <c r="M200" i="24"/>
  <c r="Q200" i="24"/>
  <c r="P200" i="24"/>
  <c r="S199" i="24"/>
  <c r="R199" i="24"/>
  <c r="M199" i="24"/>
  <c r="Q199" i="24"/>
  <c r="P199" i="24"/>
  <c r="S198" i="24"/>
  <c r="R198" i="24"/>
  <c r="M198" i="24"/>
  <c r="Q198" i="24"/>
  <c r="P198" i="24"/>
  <c r="S197" i="24"/>
  <c r="R197" i="24"/>
  <c r="M197" i="24"/>
  <c r="Q197" i="24"/>
  <c r="P197" i="24"/>
  <c r="S196" i="24"/>
  <c r="R196" i="24"/>
  <c r="M196" i="24"/>
  <c r="Q196" i="24"/>
  <c r="P196" i="24"/>
  <c r="S195" i="24"/>
  <c r="R195" i="24"/>
  <c r="M195" i="24"/>
  <c r="Q195" i="24"/>
  <c r="P195" i="24"/>
  <c r="S194" i="24"/>
  <c r="R194" i="24"/>
  <c r="M194" i="24"/>
  <c r="Q194" i="24"/>
  <c r="P194" i="24"/>
  <c r="S193" i="24"/>
  <c r="R193" i="24"/>
  <c r="M193" i="24"/>
  <c r="Q193" i="24"/>
  <c r="P193" i="24"/>
  <c r="S192" i="24"/>
  <c r="R192" i="24"/>
  <c r="M192" i="24"/>
  <c r="Q192" i="24"/>
  <c r="P192" i="24"/>
  <c r="S191" i="24"/>
  <c r="R191" i="24"/>
  <c r="M191" i="24"/>
  <c r="Q191" i="24"/>
  <c r="P191" i="24"/>
  <c r="S190" i="24"/>
  <c r="R190" i="24"/>
  <c r="M190" i="24"/>
  <c r="Q190" i="24"/>
  <c r="P190" i="24"/>
  <c r="S189" i="24"/>
  <c r="R189" i="24"/>
  <c r="M189" i="24"/>
  <c r="Q189" i="24"/>
  <c r="P189" i="24"/>
  <c r="S188" i="24"/>
  <c r="R188" i="24"/>
  <c r="M188" i="24"/>
  <c r="Q188" i="24"/>
  <c r="P188" i="24"/>
  <c r="S187" i="24"/>
  <c r="R187" i="24"/>
  <c r="M187" i="24"/>
  <c r="Q187" i="24"/>
  <c r="P187" i="24"/>
  <c r="S186" i="24"/>
  <c r="R186" i="24"/>
  <c r="M186" i="24"/>
  <c r="Q186" i="24"/>
  <c r="P186" i="24"/>
  <c r="S185" i="24"/>
  <c r="R185" i="24"/>
  <c r="M185" i="24"/>
  <c r="Q185" i="24"/>
  <c r="P185" i="24"/>
  <c r="S184" i="24"/>
  <c r="R184" i="24"/>
  <c r="M184" i="24"/>
  <c r="Q184" i="24"/>
  <c r="P184" i="24"/>
  <c r="S183" i="24"/>
  <c r="R183" i="24"/>
  <c r="M183" i="24"/>
  <c r="Q183" i="24"/>
  <c r="P183" i="24"/>
  <c r="S182" i="24"/>
  <c r="R182" i="24"/>
  <c r="M182" i="24"/>
  <c r="Q182" i="24"/>
  <c r="P182" i="24"/>
  <c r="S181" i="24"/>
  <c r="R181" i="24"/>
  <c r="M181" i="24"/>
  <c r="Q181" i="24"/>
  <c r="P181" i="24"/>
  <c r="S180" i="24"/>
  <c r="R180" i="24"/>
  <c r="M180" i="24"/>
  <c r="Q180" i="24"/>
  <c r="P180" i="24"/>
  <c r="S179" i="24"/>
  <c r="R179" i="24"/>
  <c r="M179" i="24"/>
  <c r="Q179" i="24"/>
  <c r="P179" i="24"/>
  <c r="S178" i="24"/>
  <c r="R178" i="24"/>
  <c r="M178" i="24"/>
  <c r="Q178" i="24"/>
  <c r="P178" i="24"/>
  <c r="S177" i="24"/>
  <c r="R177" i="24"/>
  <c r="M177" i="24"/>
  <c r="Q177" i="24"/>
  <c r="P177" i="24"/>
  <c r="S176" i="24"/>
  <c r="R176" i="24"/>
  <c r="M176" i="24"/>
  <c r="Q176" i="24"/>
  <c r="P176" i="24"/>
  <c r="S175" i="24"/>
  <c r="R175" i="24"/>
  <c r="M175" i="24"/>
  <c r="Q175" i="24"/>
  <c r="P175" i="24"/>
  <c r="S174" i="24"/>
  <c r="R174" i="24"/>
  <c r="M174" i="24"/>
  <c r="Q174" i="24"/>
  <c r="P174" i="24"/>
  <c r="S173" i="24"/>
  <c r="R173" i="24"/>
  <c r="M173" i="24"/>
  <c r="Q173" i="24"/>
  <c r="P173" i="24"/>
  <c r="S172" i="24"/>
  <c r="R172" i="24"/>
  <c r="M172" i="24"/>
  <c r="Q172" i="24"/>
  <c r="P172" i="24"/>
  <c r="S171" i="24"/>
  <c r="R171" i="24"/>
  <c r="M171" i="24"/>
  <c r="Q171" i="24"/>
  <c r="P171" i="24"/>
  <c r="S170" i="24"/>
  <c r="R170" i="24"/>
  <c r="M170" i="24"/>
  <c r="Q170" i="24"/>
  <c r="P170" i="24"/>
  <c r="S169" i="24"/>
  <c r="R169" i="24"/>
  <c r="M169" i="24"/>
  <c r="Q169" i="24"/>
  <c r="P169" i="24"/>
  <c r="S168" i="24"/>
  <c r="R168" i="24"/>
  <c r="M168" i="24"/>
  <c r="Q168" i="24"/>
  <c r="P168" i="24"/>
  <c r="S167" i="24"/>
  <c r="R167" i="24"/>
  <c r="M167" i="24"/>
  <c r="Q167" i="24"/>
  <c r="P167" i="24"/>
  <c r="S166" i="24"/>
  <c r="R166" i="24"/>
  <c r="M166" i="24"/>
  <c r="Q166" i="24"/>
  <c r="P166" i="24"/>
  <c r="S165" i="24"/>
  <c r="R165" i="24"/>
  <c r="M165" i="24"/>
  <c r="Q165" i="24"/>
  <c r="P165" i="24"/>
  <c r="S164" i="24"/>
  <c r="R164" i="24"/>
  <c r="M164" i="24"/>
  <c r="Q164" i="24"/>
  <c r="P164" i="24"/>
  <c r="S163" i="24"/>
  <c r="R163" i="24"/>
  <c r="M163" i="24"/>
  <c r="Q163" i="24"/>
  <c r="P163" i="24"/>
  <c r="S162" i="24"/>
  <c r="R162" i="24"/>
  <c r="M162" i="24"/>
  <c r="Q162" i="24"/>
  <c r="P162" i="24"/>
  <c r="S161" i="24"/>
  <c r="R161" i="24"/>
  <c r="M161" i="24"/>
  <c r="Q161" i="24"/>
  <c r="P161" i="24"/>
  <c r="S160" i="24"/>
  <c r="R160" i="24"/>
  <c r="M160" i="24"/>
  <c r="Q160" i="24"/>
  <c r="P160" i="24"/>
  <c r="S159" i="24"/>
  <c r="R159" i="24"/>
  <c r="M159" i="24"/>
  <c r="Q159" i="24"/>
  <c r="P159" i="24"/>
  <c r="S158" i="24"/>
  <c r="R158" i="24"/>
  <c r="M158" i="24"/>
  <c r="Q158" i="24"/>
  <c r="P158" i="24"/>
  <c r="S157" i="24"/>
  <c r="R157" i="24"/>
  <c r="M157" i="24"/>
  <c r="Q157" i="24"/>
  <c r="P157" i="24"/>
  <c r="S156" i="24"/>
  <c r="R156" i="24"/>
  <c r="M156" i="24"/>
  <c r="Q156" i="24"/>
  <c r="P156" i="24"/>
  <c r="S155" i="24"/>
  <c r="R155" i="24"/>
  <c r="M155" i="24"/>
  <c r="Q155" i="24"/>
  <c r="P155" i="24"/>
  <c r="S154" i="24"/>
  <c r="R154" i="24"/>
  <c r="M154" i="24"/>
  <c r="Q154" i="24"/>
  <c r="P154" i="24"/>
  <c r="S153" i="24"/>
  <c r="R153" i="24"/>
  <c r="M153" i="24"/>
  <c r="Q153" i="24"/>
  <c r="P153" i="24"/>
  <c r="S152" i="24"/>
  <c r="R152" i="24"/>
  <c r="M152" i="24"/>
  <c r="Q152" i="24"/>
  <c r="P152" i="24"/>
  <c r="S151" i="24"/>
  <c r="R151" i="24"/>
  <c r="M151" i="24"/>
  <c r="Q151" i="24"/>
  <c r="P151" i="24"/>
  <c r="S150" i="24"/>
  <c r="R150" i="24"/>
  <c r="M150" i="24"/>
  <c r="Q150" i="24"/>
  <c r="P150" i="24"/>
  <c r="S149" i="24"/>
  <c r="R149" i="24"/>
  <c r="M149" i="24"/>
  <c r="Q149" i="24"/>
  <c r="P149" i="24"/>
  <c r="S148" i="24"/>
  <c r="R148" i="24"/>
  <c r="M148" i="24"/>
  <c r="Q148" i="24"/>
  <c r="P148" i="24"/>
  <c r="S147" i="24"/>
  <c r="R147" i="24"/>
  <c r="M147" i="24"/>
  <c r="Q147" i="24"/>
  <c r="P147" i="24"/>
  <c r="S146" i="24"/>
  <c r="R146" i="24"/>
  <c r="M146" i="24"/>
  <c r="Q146" i="24"/>
  <c r="P146" i="24"/>
  <c r="S145" i="24"/>
  <c r="R145" i="24"/>
  <c r="M145" i="24"/>
  <c r="Q145" i="24"/>
  <c r="P145" i="24"/>
  <c r="S144" i="24"/>
  <c r="R144" i="24"/>
  <c r="M144" i="24"/>
  <c r="Q144" i="24"/>
  <c r="P144" i="24"/>
  <c r="S143" i="24"/>
  <c r="R143" i="24"/>
  <c r="M143" i="24"/>
  <c r="Q143" i="24"/>
  <c r="P143" i="24"/>
  <c r="S142" i="24"/>
  <c r="R142" i="24"/>
  <c r="M142" i="24"/>
  <c r="Q142" i="24"/>
  <c r="P142" i="24"/>
  <c r="S141" i="24"/>
  <c r="R141" i="24"/>
  <c r="M141" i="24"/>
  <c r="Q141" i="24"/>
  <c r="P141" i="24"/>
  <c r="S140" i="24"/>
  <c r="R140" i="24"/>
  <c r="M140" i="24"/>
  <c r="Q140" i="24"/>
  <c r="P140" i="24"/>
  <c r="S139" i="24"/>
  <c r="R139" i="24"/>
  <c r="M139" i="24"/>
  <c r="Q139" i="24"/>
  <c r="P139" i="24"/>
  <c r="S138" i="24"/>
  <c r="R138" i="24"/>
  <c r="M138" i="24"/>
  <c r="Q138" i="24"/>
  <c r="P138" i="24"/>
  <c r="S137" i="24"/>
  <c r="R137" i="24"/>
  <c r="M137" i="24"/>
  <c r="Q137" i="24"/>
  <c r="P137" i="24"/>
  <c r="S136" i="24"/>
  <c r="R136" i="24"/>
  <c r="M136" i="24"/>
  <c r="Q136" i="24"/>
  <c r="P136" i="24"/>
  <c r="S135" i="24"/>
  <c r="R135" i="24"/>
  <c r="M135" i="24"/>
  <c r="Q135" i="24"/>
  <c r="P135" i="24"/>
  <c r="S134" i="24"/>
  <c r="R134" i="24"/>
  <c r="M134" i="24"/>
  <c r="Q134" i="24"/>
  <c r="P134" i="24"/>
  <c r="S133" i="24"/>
  <c r="R133" i="24"/>
  <c r="M133" i="24"/>
  <c r="Q133" i="24"/>
  <c r="P133" i="24"/>
  <c r="S132" i="24"/>
  <c r="R132" i="24"/>
  <c r="M132" i="24"/>
  <c r="Q132" i="24"/>
  <c r="P132" i="24"/>
  <c r="S131" i="24"/>
  <c r="R131" i="24"/>
  <c r="M131" i="24"/>
  <c r="Q131" i="24"/>
  <c r="P131" i="24"/>
  <c r="S130" i="24"/>
  <c r="R130" i="24"/>
  <c r="M130" i="24"/>
  <c r="Q130" i="24"/>
  <c r="P130" i="24"/>
  <c r="S129" i="24"/>
  <c r="R129" i="24"/>
  <c r="M129" i="24"/>
  <c r="Q129" i="24"/>
  <c r="P129" i="24"/>
  <c r="S128" i="24"/>
  <c r="R128" i="24"/>
  <c r="M128" i="24"/>
  <c r="Q128" i="24"/>
  <c r="P128" i="24"/>
  <c r="S127" i="24"/>
  <c r="R127" i="24"/>
  <c r="M127" i="24"/>
  <c r="Q127" i="24"/>
  <c r="P127" i="24"/>
  <c r="S126" i="24"/>
  <c r="R126" i="24"/>
  <c r="M126" i="24"/>
  <c r="Q126" i="24"/>
  <c r="P126" i="24"/>
  <c r="S125" i="24"/>
  <c r="R125" i="24"/>
  <c r="M125" i="24"/>
  <c r="Q125" i="24"/>
  <c r="P125" i="24"/>
  <c r="S124" i="24"/>
  <c r="R124" i="24"/>
  <c r="M124" i="24"/>
  <c r="Q124" i="24"/>
  <c r="P124" i="24"/>
  <c r="S123" i="24"/>
  <c r="R123" i="24"/>
  <c r="M123" i="24"/>
  <c r="Q123" i="24"/>
  <c r="P123" i="24"/>
  <c r="S122" i="24"/>
  <c r="R122" i="24"/>
  <c r="M122" i="24"/>
  <c r="Q122" i="24"/>
  <c r="P122" i="24"/>
  <c r="S121" i="24"/>
  <c r="R121" i="24"/>
  <c r="M121" i="24"/>
  <c r="Q121" i="24"/>
  <c r="P121" i="24"/>
  <c r="S120" i="24"/>
  <c r="R120" i="24"/>
  <c r="M120" i="24"/>
  <c r="Q120" i="24"/>
  <c r="P120" i="24"/>
  <c r="S119" i="24"/>
  <c r="R119" i="24"/>
  <c r="M119" i="24"/>
  <c r="Q119" i="24"/>
  <c r="P119" i="24"/>
  <c r="S118" i="24"/>
  <c r="R118" i="24"/>
  <c r="M118" i="24"/>
  <c r="Q118" i="24"/>
  <c r="P118" i="24"/>
  <c r="S117" i="24"/>
  <c r="R117" i="24"/>
  <c r="M117" i="24"/>
  <c r="Q117" i="24"/>
  <c r="P117" i="24"/>
  <c r="S116" i="24"/>
  <c r="R116" i="24"/>
  <c r="M116" i="24"/>
  <c r="Q116" i="24"/>
  <c r="P116" i="24"/>
  <c r="S115" i="24"/>
  <c r="R115" i="24"/>
  <c r="M115" i="24"/>
  <c r="Q115" i="24"/>
  <c r="P115" i="24"/>
  <c r="S114" i="24"/>
  <c r="R114" i="24"/>
  <c r="M114" i="24"/>
  <c r="Q114" i="24"/>
  <c r="P114" i="24"/>
  <c r="S113" i="24"/>
  <c r="R113" i="24"/>
  <c r="M113" i="24"/>
  <c r="Q113" i="24"/>
  <c r="P113" i="24"/>
  <c r="S112" i="24"/>
  <c r="R112" i="24"/>
  <c r="M112" i="24"/>
  <c r="Q112" i="24"/>
  <c r="P112" i="24"/>
  <c r="S111" i="24"/>
  <c r="R111" i="24"/>
  <c r="M111" i="24"/>
  <c r="Q111" i="24"/>
  <c r="P111" i="24"/>
  <c r="S110" i="24"/>
  <c r="R110" i="24"/>
  <c r="M110" i="24"/>
  <c r="Q110" i="24"/>
  <c r="P110" i="24"/>
  <c r="S109" i="24"/>
  <c r="R109" i="24"/>
  <c r="M109" i="24"/>
  <c r="Q109" i="24"/>
  <c r="P109" i="24"/>
  <c r="S108" i="24"/>
  <c r="R108" i="24"/>
  <c r="M108" i="24"/>
  <c r="Q108" i="24"/>
  <c r="P108" i="24"/>
  <c r="S107" i="24"/>
  <c r="R107" i="24"/>
  <c r="M107" i="24"/>
  <c r="Q107" i="24"/>
  <c r="P107" i="24"/>
  <c r="S106" i="24"/>
  <c r="R106" i="24"/>
  <c r="M106" i="24"/>
  <c r="Q106" i="24"/>
  <c r="P106" i="24"/>
  <c r="S105" i="24"/>
  <c r="R105" i="24"/>
  <c r="M105" i="24"/>
  <c r="Q105" i="24"/>
  <c r="P105" i="24"/>
  <c r="S104" i="24"/>
  <c r="R104" i="24"/>
  <c r="M104" i="24"/>
  <c r="Q104" i="24"/>
  <c r="P104" i="24"/>
  <c r="S103" i="24"/>
  <c r="R103" i="24"/>
  <c r="M103" i="24"/>
  <c r="Q103" i="24"/>
  <c r="P103" i="24"/>
  <c r="S102" i="24"/>
  <c r="R102" i="24"/>
  <c r="M102" i="24"/>
  <c r="Q102" i="24"/>
  <c r="P102" i="24"/>
  <c r="S101" i="24"/>
  <c r="R101" i="24"/>
  <c r="M101" i="24"/>
  <c r="Q101" i="24"/>
  <c r="P101" i="24"/>
  <c r="S100" i="24"/>
  <c r="R100" i="24"/>
  <c r="M100" i="24"/>
  <c r="Q100" i="24"/>
  <c r="P100" i="24"/>
  <c r="S99" i="24"/>
  <c r="R99" i="24"/>
  <c r="M99" i="24"/>
  <c r="Q99" i="24"/>
  <c r="P99" i="24"/>
  <c r="S98" i="24"/>
  <c r="R98" i="24"/>
  <c r="M98" i="24"/>
  <c r="Q98" i="24"/>
  <c r="P98" i="24"/>
  <c r="S97" i="24"/>
  <c r="R97" i="24"/>
  <c r="M97" i="24"/>
  <c r="Q97" i="24"/>
  <c r="P97" i="24"/>
  <c r="S96" i="24"/>
  <c r="R96" i="24"/>
  <c r="M96" i="24"/>
  <c r="Q96" i="24"/>
  <c r="P96" i="24"/>
  <c r="S95" i="24"/>
  <c r="R95" i="24"/>
  <c r="M95" i="24"/>
  <c r="Q95" i="24"/>
  <c r="P95" i="24"/>
  <c r="S94" i="24"/>
  <c r="R94" i="24"/>
  <c r="M94" i="24"/>
  <c r="Q94" i="24"/>
  <c r="P94" i="24"/>
  <c r="S93" i="24"/>
  <c r="R93" i="24"/>
  <c r="M93" i="24"/>
  <c r="Q93" i="24"/>
  <c r="P93" i="24"/>
  <c r="S92" i="24"/>
  <c r="R92" i="24"/>
  <c r="M92" i="24"/>
  <c r="Q92" i="24"/>
  <c r="P92" i="24"/>
  <c r="S91" i="24"/>
  <c r="R91" i="24"/>
  <c r="M91" i="24"/>
  <c r="Q91" i="24"/>
  <c r="P91" i="24"/>
  <c r="S90" i="24"/>
  <c r="R90" i="24"/>
  <c r="M90" i="24"/>
  <c r="Q90" i="24"/>
  <c r="P90" i="24"/>
  <c r="S89" i="24"/>
  <c r="R89" i="24"/>
  <c r="M89" i="24"/>
  <c r="Q89" i="24"/>
  <c r="P89" i="24"/>
  <c r="S88" i="24"/>
  <c r="R88" i="24"/>
  <c r="M88" i="24"/>
  <c r="Q88" i="24"/>
  <c r="P88" i="24"/>
  <c r="S87" i="24"/>
  <c r="R87" i="24"/>
  <c r="M87" i="24"/>
  <c r="Q87" i="24"/>
  <c r="P87" i="24"/>
  <c r="S86" i="24"/>
  <c r="R86" i="24"/>
  <c r="M86" i="24"/>
  <c r="Q86" i="24"/>
  <c r="P86" i="24"/>
  <c r="S85" i="24"/>
  <c r="R85" i="24"/>
  <c r="M85" i="24"/>
  <c r="Q85" i="24"/>
  <c r="P85" i="24"/>
  <c r="S84" i="24"/>
  <c r="R84" i="24"/>
  <c r="M84" i="24"/>
  <c r="Q84" i="24"/>
  <c r="P84" i="24"/>
  <c r="S83" i="24"/>
  <c r="R83" i="24"/>
  <c r="M83" i="24"/>
  <c r="Q83" i="24"/>
  <c r="P83" i="24"/>
  <c r="S82" i="24"/>
  <c r="R82" i="24"/>
  <c r="M82" i="24"/>
  <c r="Q82" i="24"/>
  <c r="P82" i="24"/>
  <c r="S81" i="24"/>
  <c r="R81" i="24"/>
  <c r="M81" i="24"/>
  <c r="Q81" i="24"/>
  <c r="P81" i="24"/>
  <c r="S80" i="24"/>
  <c r="R80" i="24"/>
  <c r="M80" i="24"/>
  <c r="Q80" i="24"/>
  <c r="P80" i="24"/>
  <c r="S79" i="24"/>
  <c r="R79" i="24"/>
  <c r="M79" i="24"/>
  <c r="Q79" i="24"/>
  <c r="P79" i="24"/>
  <c r="S78" i="24"/>
  <c r="R78" i="24"/>
  <c r="M78" i="24"/>
  <c r="Q78" i="24"/>
  <c r="P78" i="24"/>
  <c r="S77" i="24"/>
  <c r="R77" i="24"/>
  <c r="M77" i="24"/>
  <c r="Q77" i="24"/>
  <c r="P77" i="24"/>
  <c r="S76" i="24"/>
  <c r="R76" i="24"/>
  <c r="M76" i="24"/>
  <c r="Q76" i="24"/>
  <c r="P76" i="24"/>
  <c r="S75" i="24"/>
  <c r="R75" i="24"/>
  <c r="M75" i="24"/>
  <c r="Q75" i="24"/>
  <c r="P75" i="24"/>
  <c r="S74" i="24"/>
  <c r="R74" i="24"/>
  <c r="M74" i="24"/>
  <c r="Q74" i="24"/>
  <c r="P74" i="24"/>
  <c r="S73" i="24"/>
  <c r="R73" i="24"/>
  <c r="M73" i="24"/>
  <c r="Q73" i="24"/>
  <c r="P73" i="24"/>
  <c r="S72" i="24"/>
  <c r="R72" i="24"/>
  <c r="M72" i="24"/>
  <c r="Q72" i="24"/>
  <c r="P72" i="24"/>
  <c r="S71" i="24"/>
  <c r="R71" i="24"/>
  <c r="M71" i="24"/>
  <c r="Q71" i="24"/>
  <c r="P71" i="24"/>
  <c r="S70" i="24"/>
  <c r="R70" i="24"/>
  <c r="M70" i="24"/>
  <c r="Q70" i="24"/>
  <c r="P70" i="24"/>
  <c r="S69" i="24"/>
  <c r="R69" i="24"/>
  <c r="M69" i="24"/>
  <c r="Q69" i="24"/>
  <c r="P69" i="24"/>
  <c r="S68" i="24"/>
  <c r="R68" i="24"/>
  <c r="M68" i="24"/>
  <c r="Q68" i="24"/>
  <c r="P68" i="24"/>
  <c r="S67" i="24"/>
  <c r="R67" i="24"/>
  <c r="M67" i="24"/>
  <c r="Q67" i="24"/>
  <c r="P67" i="24"/>
  <c r="S66" i="24"/>
  <c r="R66" i="24"/>
  <c r="M66" i="24"/>
  <c r="Q66" i="24"/>
  <c r="P66" i="24"/>
  <c r="S65" i="24"/>
  <c r="R65" i="24"/>
  <c r="M65" i="24"/>
  <c r="Q65" i="24"/>
  <c r="P65" i="24"/>
  <c r="S64" i="24"/>
  <c r="R64" i="24"/>
  <c r="M64" i="24"/>
  <c r="Q64" i="24"/>
  <c r="P64" i="24"/>
  <c r="S63" i="24"/>
  <c r="R63" i="24"/>
  <c r="M63" i="24"/>
  <c r="Q63" i="24"/>
  <c r="P63" i="24"/>
  <c r="S62" i="24"/>
  <c r="R62" i="24"/>
  <c r="M62" i="24"/>
  <c r="Q62" i="24"/>
  <c r="P62" i="24"/>
  <c r="S61" i="24"/>
  <c r="R61" i="24"/>
  <c r="M61" i="24"/>
  <c r="Q61" i="24"/>
  <c r="P61" i="24"/>
  <c r="S60" i="24"/>
  <c r="R60" i="24"/>
  <c r="M60" i="24"/>
  <c r="Q60" i="24"/>
  <c r="P60" i="24"/>
  <c r="S59" i="24"/>
  <c r="R59" i="24"/>
  <c r="M59" i="24"/>
  <c r="Q59" i="24"/>
  <c r="P59" i="24"/>
  <c r="S58" i="24"/>
  <c r="R58" i="24"/>
  <c r="M58" i="24"/>
  <c r="Q58" i="24"/>
  <c r="P58" i="24"/>
  <c r="S57" i="24"/>
  <c r="R57" i="24"/>
  <c r="M57" i="24"/>
  <c r="Q57" i="24"/>
  <c r="P57" i="24"/>
  <c r="S56" i="24"/>
  <c r="R56" i="24"/>
  <c r="M56" i="24"/>
  <c r="Q56" i="24"/>
  <c r="P56" i="24"/>
  <c r="S55" i="24"/>
  <c r="R55" i="24"/>
  <c r="M55" i="24"/>
  <c r="Q55" i="24"/>
  <c r="P55" i="24"/>
  <c r="S54" i="24"/>
  <c r="R54" i="24"/>
  <c r="M54" i="24"/>
  <c r="Q54" i="24"/>
  <c r="P54" i="24"/>
  <c r="S53" i="24"/>
  <c r="R53" i="24"/>
  <c r="M53" i="24"/>
  <c r="Q53" i="24"/>
  <c r="P53" i="24"/>
  <c r="A15" i="24"/>
  <c r="A16" i="24" s="1"/>
  <c r="A17" i="24" s="1"/>
  <c r="A18" i="24" s="1"/>
  <c r="A19" i="24" s="1"/>
  <c r="A20" i="24" s="1"/>
  <c r="A21" i="24" s="1"/>
  <c r="A22" i="24" s="1"/>
  <c r="A23" i="24" s="1"/>
  <c r="A24" i="24" s="1"/>
  <c r="A25" i="24" s="1"/>
  <c r="A26" i="24" s="1"/>
  <c r="A27" i="24" s="1"/>
  <c r="A28" i="24" s="1"/>
  <c r="A29" i="24" s="1"/>
  <c r="A30" i="24" s="1"/>
  <c r="A31" i="24" s="1"/>
  <c r="A32" i="24" s="1"/>
  <c r="A33" i="24" s="1"/>
  <c r="A34" i="24" s="1"/>
  <c r="A35" i="24" s="1"/>
  <c r="A36" i="24" s="1"/>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76" i="24" s="1"/>
  <c r="A77" i="24" s="1"/>
  <c r="A78" i="24" s="1"/>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07" i="24" s="1"/>
  <c r="A108" i="24" s="1"/>
  <c r="A109" i="24" s="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157" i="24" s="1"/>
  <c r="A158" i="24" s="1"/>
  <c r="A159" i="24" s="1"/>
  <c r="A160" i="24" s="1"/>
  <c r="A161" i="24" s="1"/>
  <c r="A162" i="24" s="1"/>
  <c r="A163" i="24" s="1"/>
  <c r="A164" i="24" s="1"/>
  <c r="A165" i="24" s="1"/>
  <c r="A166" i="24" s="1"/>
  <c r="A167" i="24" s="1"/>
  <c r="A168" i="24" s="1"/>
  <c r="A169" i="24" s="1"/>
  <c r="A170" i="24" s="1"/>
  <c r="A171" i="24" s="1"/>
  <c r="A172" i="24" s="1"/>
  <c r="A173" i="24" s="1"/>
  <c r="A174" i="24" s="1"/>
  <c r="A175" i="24" s="1"/>
  <c r="A176" i="24" s="1"/>
  <c r="A177" i="24" s="1"/>
  <c r="A178" i="24" s="1"/>
  <c r="A179" i="24" s="1"/>
  <c r="A180" i="24" s="1"/>
  <c r="A181" i="24" s="1"/>
  <c r="A182" i="24" s="1"/>
  <c r="A183" i="24" s="1"/>
  <c r="A184" i="24" s="1"/>
  <c r="A185" i="24" s="1"/>
  <c r="A186" i="24" s="1"/>
  <c r="A187" i="24" s="1"/>
  <c r="A188" i="24" s="1"/>
  <c r="A189" i="24" s="1"/>
  <c r="A190" i="24" s="1"/>
  <c r="A191" i="24" s="1"/>
  <c r="A192" i="24" s="1"/>
  <c r="A193" i="24" s="1"/>
  <c r="A194" i="24" s="1"/>
  <c r="A195" i="24" s="1"/>
  <c r="A196" i="24" s="1"/>
  <c r="A197" i="24" s="1"/>
  <c r="A198" i="24" s="1"/>
  <c r="A199" i="24" s="1"/>
  <c r="A200" i="24" s="1"/>
  <c r="A201" i="24" s="1"/>
  <c r="A202" i="24" s="1"/>
  <c r="A203" i="24" s="1"/>
  <c r="A204" i="24" s="1"/>
  <c r="A205" i="24" s="1"/>
  <c r="A206" i="24" s="1"/>
  <c r="A207" i="24" s="1"/>
  <c r="A208" i="24" s="1"/>
  <c r="A209" i="24" s="1"/>
  <c r="A210" i="24" s="1"/>
  <c r="A211" i="24" s="1"/>
  <c r="A212" i="24" s="1"/>
  <c r="A213" i="24" s="1"/>
  <c r="A214" i="24" s="1"/>
  <c r="A215" i="24" s="1"/>
  <c r="A216" i="24" s="1"/>
  <c r="A217" i="24" s="1"/>
  <c r="A218" i="24" s="1"/>
  <c r="A219" i="24" s="1"/>
  <c r="A220" i="24" s="1"/>
  <c r="A221" i="24" s="1"/>
  <c r="A222" i="24" s="1"/>
  <c r="A223" i="24" s="1"/>
  <c r="A224" i="24" s="1"/>
  <c r="A225" i="24" s="1"/>
  <c r="A226" i="24" s="1"/>
  <c r="A227" i="24" s="1"/>
  <c r="A228" i="24" s="1"/>
  <c r="A229" i="24" s="1"/>
  <c r="A230" i="24" s="1"/>
  <c r="A231" i="24" s="1"/>
  <c r="A232" i="24" s="1"/>
  <c r="A233" i="24" s="1"/>
  <c r="A234" i="24" s="1"/>
  <c r="A235" i="24" s="1"/>
  <c r="A236" i="24" s="1"/>
  <c r="A237" i="24" s="1"/>
  <c r="A238" i="24" s="1"/>
  <c r="A239" i="24" s="1"/>
  <c r="A240" i="24" s="1"/>
  <c r="A241" i="24" s="1"/>
  <c r="A242" i="24" s="1"/>
  <c r="A243" i="24" s="1"/>
  <c r="A244" i="24" s="1"/>
  <c r="A245" i="24" s="1"/>
  <c r="A246" i="24" s="1"/>
  <c r="A247" i="24" s="1"/>
  <c r="A248" i="24" s="1"/>
  <c r="A249" i="24" s="1"/>
  <c r="A250" i="24" s="1"/>
  <c r="A251" i="24" s="1"/>
  <c r="A252" i="24" s="1"/>
  <c r="A253" i="24" s="1"/>
  <c r="A254" i="24" s="1"/>
  <c r="A255" i="24" s="1"/>
  <c r="A256" i="24" s="1"/>
  <c r="A257" i="24" s="1"/>
  <c r="A258" i="24" s="1"/>
  <c r="A259" i="24" s="1"/>
  <c r="A260" i="24" s="1"/>
  <c r="A261" i="24" s="1"/>
  <c r="A262" i="24" s="1"/>
  <c r="A263" i="24" s="1"/>
  <c r="A264" i="24" s="1"/>
  <c r="A265" i="24" s="1"/>
  <c r="A266" i="24" s="1"/>
  <c r="A267" i="24" s="1"/>
  <c r="A268" i="24" s="1"/>
  <c r="A269" i="24" s="1"/>
  <c r="A270" i="24" s="1"/>
  <c r="A271" i="24" s="1"/>
  <c r="A272" i="24" s="1"/>
  <c r="A273" i="24" s="1"/>
  <c r="A274" i="24" s="1"/>
  <c r="A275" i="24" s="1"/>
  <c r="A276" i="24" s="1"/>
  <c r="A277" i="24" s="1"/>
  <c r="A278" i="24" s="1"/>
  <c r="A279" i="24" s="1"/>
  <c r="A280" i="24" s="1"/>
  <c r="A281" i="24" s="1"/>
  <c r="A282" i="24" s="1"/>
  <c r="A283" i="24" s="1"/>
  <c r="A284" i="24" s="1"/>
  <c r="A285" i="24" s="1"/>
  <c r="A286" i="24" s="1"/>
  <c r="A287" i="24" s="1"/>
  <c r="A288" i="24" s="1"/>
  <c r="A289" i="24" s="1"/>
  <c r="A290" i="24" s="1"/>
  <c r="A291" i="24" s="1"/>
  <c r="A292" i="24" s="1"/>
  <c r="A293" i="24" s="1"/>
  <c r="A294" i="24" s="1"/>
  <c r="A295" i="24" s="1"/>
  <c r="A296" i="24" s="1"/>
  <c r="A297" i="24" s="1"/>
  <c r="A298" i="24" s="1"/>
  <c r="A299" i="24" s="1"/>
  <c r="A300" i="24" s="1"/>
  <c r="A301" i="24" s="1"/>
  <c r="A302" i="24" s="1"/>
  <c r="A303" i="24" s="1"/>
  <c r="A304" i="24" s="1"/>
  <c r="A305" i="24" s="1"/>
  <c r="A306" i="24" s="1"/>
  <c r="A307" i="24" s="1"/>
  <c r="A308" i="24" s="1"/>
  <c r="A309" i="24" s="1"/>
  <c r="A310" i="24" s="1"/>
  <c r="A311" i="24" s="1"/>
  <c r="A312" i="24" s="1"/>
  <c r="A313" i="24" s="1"/>
  <c r="A314" i="24" s="1"/>
  <c r="A315" i="24" s="1"/>
  <c r="A316" i="24" s="1"/>
  <c r="B2" i="24"/>
  <c r="Y354" i="23"/>
  <c r="Y366" i="23"/>
  <c r="X354" i="23"/>
  <c r="AB354" i="23"/>
  <c r="AA354" i="23"/>
  <c r="AB366" i="23"/>
  <c r="X366" i="23"/>
  <c r="AA366" i="23"/>
  <c r="AB361" i="23"/>
  <c r="X360" i="23"/>
  <c r="X357" i="23"/>
  <c r="Y379" i="23"/>
  <c r="Y377" i="23"/>
  <c r="Y359" i="23"/>
  <c r="AA351" i="23"/>
  <c r="AB358" i="23"/>
  <c r="Y362" i="23"/>
  <c r="AB347" i="23"/>
  <c r="AA363" i="23"/>
  <c r="X367" i="23"/>
  <c r="AB345" i="23"/>
  <c r="AA379" i="23"/>
  <c r="X355" i="23"/>
  <c r="AB371" i="23"/>
  <c r="AB379" i="23"/>
  <c r="AB368" i="23"/>
  <c r="Y369" i="23"/>
  <c r="Y345" i="23"/>
  <c r="X370" i="23"/>
  <c r="X346" i="23"/>
  <c r="AA345" i="23"/>
  <c r="AB377" i="23"/>
  <c r="Y376" i="23"/>
  <c r="AA298" i="23"/>
  <c r="AA369" i="23"/>
  <c r="AB367" i="23"/>
  <c r="AA347" i="23"/>
  <c r="AB357" i="23"/>
  <c r="AB359" i="23"/>
  <c r="X347" i="23"/>
  <c r="AA325" i="23"/>
  <c r="X358" i="23"/>
  <c r="AB378" i="23"/>
  <c r="Y371" i="23"/>
  <c r="X359" i="23"/>
  <c r="AA371" i="23"/>
  <c r="Y370" i="23"/>
  <c r="AA380" i="23"/>
  <c r="X362" i="23"/>
  <c r="Y346" i="23"/>
  <c r="Y367" i="23"/>
  <c r="AA376" i="23"/>
  <c r="AB346" i="23"/>
  <c r="AB302" i="23"/>
  <c r="AB355" i="23"/>
  <c r="X379" i="23"/>
  <c r="X368" i="23"/>
  <c r="AA357" i="23"/>
  <c r="Y298" i="23"/>
  <c r="X371" i="23"/>
  <c r="X363" i="23"/>
  <c r="Y348" i="23"/>
  <c r="AB376" i="23"/>
  <c r="X356" i="23"/>
  <c r="Y325" i="23"/>
  <c r="AA348" i="23"/>
  <c r="X378" i="23"/>
  <c r="AA360" i="23"/>
  <c r="Y358" i="23"/>
  <c r="AB351" i="23"/>
  <c r="AB360" i="23"/>
  <c r="AB325" i="23"/>
  <c r="Y347" i="23"/>
  <c r="AA377" i="23"/>
  <c r="X351" i="23"/>
  <c r="X353" i="23"/>
  <c r="X361" i="23"/>
  <c r="AA358" i="23"/>
  <c r="Y353" i="23"/>
  <c r="AA362" i="23"/>
  <c r="X376" i="23"/>
  <c r="AA368" i="23"/>
  <c r="Y363" i="23"/>
  <c r="AA353" i="23"/>
  <c r="Y355" i="23"/>
  <c r="AA378" i="23"/>
  <c r="AB353" i="23"/>
  <c r="AA361" i="23"/>
  <c r="Y351" i="23"/>
  <c r="AA302" i="23"/>
  <c r="X348" i="23"/>
  <c r="X369" i="23"/>
  <c r="Y361" i="23"/>
  <c r="X345" i="23"/>
  <c r="X377" i="23"/>
  <c r="X302" i="23"/>
  <c r="Y378" i="23"/>
  <c r="AB362" i="23"/>
  <c r="Y357" i="23"/>
  <c r="AB356" i="23"/>
  <c r="X298" i="23"/>
  <c r="AA355" i="23"/>
  <c r="Y368" i="23"/>
  <c r="AB298" i="23"/>
  <c r="AB380" i="23"/>
  <c r="AA367" i="23"/>
  <c r="AA370" i="23"/>
  <c r="AB370" i="23"/>
  <c r="AA346" i="23"/>
  <c r="AA356" i="23"/>
  <c r="AA359" i="23"/>
  <c r="Y360" i="23"/>
  <c r="Y356" i="23"/>
  <c r="AB348" i="23"/>
  <c r="X325" i="23"/>
  <c r="AB363" i="23"/>
  <c r="X380" i="23"/>
  <c r="Y380" i="23"/>
  <c r="Y302" i="23"/>
  <c r="AB369" i="23"/>
  <c r="AD13" i="24"/>
  <c r="AB10" i="24"/>
  <c r="AB6" i="23" l="1" a="1"/>
  <c r="AB6" i="23" s="1"/>
  <c r="X6" i="23" a="1"/>
  <c r="X6" i="23" s="1"/>
  <c r="AA6" i="23" a="1"/>
  <c r="AA6" i="23" s="1"/>
  <c r="Z363" i="23"/>
  <c r="R363" i="23" s="1"/>
  <c r="Z358" i="23"/>
  <c r="R358" i="23" s="1"/>
  <c r="Z377" i="23"/>
  <c r="R377" i="23" s="1"/>
  <c r="Z353" i="23"/>
  <c r="R353" i="23" s="1"/>
  <c r="Z380" i="23"/>
  <c r="R380" i="23" s="1"/>
  <c r="Z366" i="23"/>
  <c r="R366" i="23" s="1"/>
  <c r="Z347" i="23"/>
  <c r="R347" i="23" s="1"/>
  <c r="Z362" i="23"/>
  <c r="R362" i="23" s="1"/>
  <c r="Z378" i="23"/>
  <c r="R378" i="23" s="1"/>
  <c r="Z359" i="23"/>
  <c r="R359" i="23" s="1"/>
  <c r="Z369" i="23"/>
  <c r="R369" i="23" s="1"/>
  <c r="Z355" i="23"/>
  <c r="R355" i="23" s="1"/>
  <c r="Z356" i="23"/>
  <c r="R356" i="23" s="1"/>
  <c r="Z298" i="23"/>
  <c r="R298" i="23" s="1"/>
  <c r="Z348" i="23"/>
  <c r="R348" i="23" s="1"/>
  <c r="Z302" i="23"/>
  <c r="R302" i="23" s="1"/>
  <c r="Z367" i="23"/>
  <c r="R367" i="23" s="1"/>
  <c r="Z361" i="23"/>
  <c r="R361" i="23" s="1"/>
  <c r="Z360" i="23"/>
  <c r="R360" i="23" s="1"/>
  <c r="Z354" i="23"/>
  <c r="R354" i="23" s="1"/>
  <c r="Z368" i="23"/>
  <c r="R368" i="23" s="1"/>
  <c r="Z346" i="23"/>
  <c r="R346" i="23" s="1"/>
  <c r="Z376" i="23"/>
  <c r="R376" i="23" s="1"/>
  <c r="Z357" i="23"/>
  <c r="R357" i="23" s="1"/>
  <c r="Z325" i="23"/>
  <c r="R325" i="23" s="1"/>
  <c r="Z379" i="23"/>
  <c r="R379" i="23" s="1"/>
  <c r="Z370" i="23"/>
  <c r="R370" i="23" s="1"/>
  <c r="Z371" i="23"/>
  <c r="R371" i="23" s="1"/>
  <c r="Z351" i="23"/>
  <c r="R351" i="23" s="1"/>
  <c r="Z345" i="23"/>
  <c r="R345" i="23" s="1"/>
  <c r="AI13" i="24"/>
  <c r="AJ13" i="24"/>
  <c r="T13" i="24"/>
  <c r="W13" i="24"/>
  <c r="AG13" i="24"/>
  <c r="AH13" i="24" s="1"/>
  <c r="AL12" i="24"/>
  <c r="AL8" i="24"/>
  <c r="AH9" i="24"/>
  <c r="AL9" i="24" s="1"/>
  <c r="AH10" i="24"/>
  <c r="AL10" i="24" s="1"/>
  <c r="P10" i="24" s="1"/>
  <c r="AH11" i="24"/>
  <c r="AL11" i="24" s="1"/>
  <c r="J3" i="24"/>
  <c r="M3" i="24" s="1"/>
  <c r="R6" i="24" a="1"/>
  <c r="R6" i="24" s="1"/>
  <c r="Z13" i="24"/>
  <c r="AB13" i="24"/>
  <c r="N13" i="24"/>
  <c r="AC13" i="24"/>
  <c r="AA13" i="24"/>
  <c r="AL13" i="24" l="1"/>
  <c r="Z6" i="23" a="1"/>
  <c r="Z6" i="23" s="1"/>
  <c r="O13" i="24"/>
  <c r="E3" i="24"/>
  <c r="G3" i="24" l="1"/>
  <c r="H3" i="24"/>
  <c r="Y8" i="24" l="1"/>
  <c r="Y9" i="24"/>
  <c r="D3" i="3"/>
  <c r="AD9" i="24"/>
  <c r="V10" i="24" l="1"/>
  <c r="V11" i="24"/>
  <c r="W9" i="24"/>
  <c r="S9" i="24"/>
  <c r="T9" i="24" s="1"/>
  <c r="Z8" i="24"/>
  <c r="S8" i="24"/>
  <c r="T8" i="24" l="1"/>
  <c r="S6" i="24" a="1"/>
  <c r="S6" i="24" s="1"/>
  <c r="T6" i="24" s="1"/>
  <c r="Z9" i="24"/>
  <c r="AD10" i="24"/>
  <c r="AB9" i="24"/>
  <c r="AC9" i="24"/>
  <c r="D5" i="3"/>
  <c r="AA9" i="24"/>
  <c r="N9" i="24"/>
  <c r="O9" i="24" l="1"/>
  <c r="AC6" i="24"/>
  <c r="W10" i="24"/>
  <c r="AB6" i="24" a="1"/>
  <c r="AB6" i="24" s="1"/>
  <c r="Z10" i="24"/>
  <c r="AC10" i="24"/>
  <c r="AA10" i="24"/>
  <c r="AA6" i="24" l="1" a="1"/>
  <c r="AA6" i="24" s="1"/>
  <c r="Z6" i="24" a="1"/>
  <c r="Z6" i="24" s="1"/>
  <c r="DA29" i="21"/>
  <c r="DB29" i="21" s="1"/>
  <c r="DA28" i="21"/>
  <c r="DB28" i="21" s="1"/>
  <c r="CV7" i="21"/>
  <c r="CV8" i="21" s="1"/>
  <c r="CX8" i="21" s="1"/>
  <c r="DC8" i="21"/>
  <c r="DC7" i="21"/>
  <c r="CW3" i="21"/>
  <c r="DB8" i="21"/>
  <c r="DB7" i="21"/>
  <c r="CW7" i="21" l="1"/>
  <c r="CX7" i="21"/>
  <c r="CY7" i="21" s="1"/>
  <c r="CZ7" i="21" s="1"/>
  <c r="CW8" i="21"/>
  <c r="DD8" i="21"/>
  <c r="DD7" i="21"/>
  <c r="CV9" i="21"/>
  <c r="DC9" i="21"/>
  <c r="DB9" i="21"/>
  <c r="CX9" i="21" l="1"/>
  <c r="CW9" i="21"/>
  <c r="DD9" i="21"/>
  <c r="CY8" i="21"/>
  <c r="CZ8" i="21" s="1"/>
  <c r="CV10" i="21"/>
  <c r="AN7" i="23"/>
  <c r="DB10" i="21"/>
  <c r="DC10" i="21"/>
  <c r="AO7" i="23" l="1"/>
  <c r="CX10" i="21"/>
  <c r="CW10" i="21"/>
  <c r="DD10" i="21"/>
  <c r="CY9" i="21"/>
  <c r="CZ9" i="21" s="1"/>
  <c r="CV11" i="21"/>
  <c r="DC11" i="21"/>
  <c r="DB11" i="21"/>
  <c r="CW11" i="21" l="1"/>
  <c r="CX11" i="21"/>
  <c r="DD11" i="21"/>
  <c r="CY10" i="21"/>
  <c r="CZ10" i="21" s="1"/>
  <c r="CV12" i="21"/>
  <c r="DB12" i="21"/>
  <c r="DC12" i="21"/>
  <c r="CX12" i="21" l="1"/>
  <c r="CW12" i="21"/>
  <c r="CY12" i="21" s="1"/>
  <c r="CZ12" i="21" s="1"/>
  <c r="DD12" i="21"/>
  <c r="CY11" i="21"/>
  <c r="CZ11" i="21" s="1"/>
  <c r="CV13" i="21"/>
  <c r="DC13" i="21"/>
  <c r="DB13" i="21"/>
  <c r="CX13" i="21" l="1"/>
  <c r="CW13" i="21"/>
  <c r="CY13" i="21" s="1"/>
  <c r="CZ13" i="21" s="1"/>
  <c r="DD13" i="21"/>
  <c r="CV14" i="21"/>
  <c r="BI6" i="21"/>
  <c r="BP6" i="21"/>
  <c r="BH6" i="21"/>
  <c r="DB14" i="21"/>
  <c r="DC14" i="21"/>
  <c r="CX14" i="21" l="1"/>
  <c r="CW14" i="21"/>
  <c r="CY14" i="21" s="1"/>
  <c r="CZ14" i="21" s="1"/>
  <c r="DD14" i="21"/>
  <c r="CV15" i="21"/>
  <c r="AL123" i="21"/>
  <c r="AL122" i="21"/>
  <c r="AL121" i="21"/>
  <c r="AL120" i="21"/>
  <c r="AL119" i="21"/>
  <c r="AL118" i="21"/>
  <c r="AL117" i="21"/>
  <c r="AL116" i="21"/>
  <c r="AL115" i="21"/>
  <c r="AL114" i="21"/>
  <c r="AL113" i="21"/>
  <c r="AL112" i="21"/>
  <c r="AL111" i="21"/>
  <c r="AL110" i="21"/>
  <c r="AL109" i="21"/>
  <c r="AL108" i="21"/>
  <c r="AL107" i="21"/>
  <c r="AL106" i="21"/>
  <c r="AL105" i="21"/>
  <c r="AL104" i="21"/>
  <c r="AL103" i="21"/>
  <c r="AL102" i="21"/>
  <c r="AL101" i="21"/>
  <c r="AL100" i="21"/>
  <c r="AL99" i="21"/>
  <c r="AL98" i="21"/>
  <c r="AL97" i="21"/>
  <c r="AL96" i="21"/>
  <c r="AL95" i="21"/>
  <c r="AL94" i="21"/>
  <c r="AL93" i="21"/>
  <c r="AL92" i="21"/>
  <c r="AL91" i="21"/>
  <c r="AL90" i="21"/>
  <c r="AL89" i="21"/>
  <c r="AL88" i="21"/>
  <c r="AL87" i="21"/>
  <c r="AL86" i="21"/>
  <c r="AL85" i="21"/>
  <c r="AL84" i="21"/>
  <c r="AL83" i="21"/>
  <c r="AL82" i="21"/>
  <c r="AL81" i="21"/>
  <c r="AL80" i="21"/>
  <c r="AL79" i="21"/>
  <c r="AL78" i="21"/>
  <c r="AL77" i="21"/>
  <c r="AL76" i="21"/>
  <c r="AL75" i="21"/>
  <c r="AL74" i="21"/>
  <c r="AL73" i="21"/>
  <c r="AL72" i="21"/>
  <c r="AL71" i="21"/>
  <c r="AL70" i="21"/>
  <c r="AL69" i="21"/>
  <c r="AL68" i="21"/>
  <c r="AL67" i="21"/>
  <c r="AL66" i="21"/>
  <c r="AL65" i="21"/>
  <c r="AL64" i="21"/>
  <c r="AL63" i="21"/>
  <c r="DB15" i="21"/>
  <c r="DC15" i="21"/>
  <c r="P8" i="23" l="1"/>
  <c r="CW15" i="21"/>
  <c r="CX15" i="21"/>
  <c r="DD15" i="21"/>
  <c r="CV16" i="21"/>
  <c r="C48" i="5"/>
  <c r="DC16" i="21"/>
  <c r="H3" i="5"/>
  <c r="DB16" i="21"/>
  <c r="P24" i="23" l="1"/>
  <c r="P18" i="23"/>
  <c r="P13" i="23"/>
  <c r="P30" i="23"/>
  <c r="P29" i="23"/>
  <c r="P37" i="23"/>
  <c r="P12" i="23"/>
  <c r="P25" i="23"/>
  <c r="P35" i="23"/>
  <c r="P14" i="23"/>
  <c r="P22" i="23"/>
  <c r="P40" i="23"/>
  <c r="P41" i="23"/>
  <c r="P38" i="23"/>
  <c r="P16" i="23"/>
  <c r="P26" i="23"/>
  <c r="P36" i="23"/>
  <c r="P11" i="23"/>
  <c r="P21" i="23"/>
  <c r="P31" i="23"/>
  <c r="P20" i="23"/>
  <c r="P17" i="23"/>
  <c r="P28" i="23"/>
  <c r="P9" i="23"/>
  <c r="P32" i="23"/>
  <c r="P34" i="23"/>
  <c r="P10" i="23"/>
  <c r="P19" i="23"/>
  <c r="P42" i="23"/>
  <c r="P27" i="23"/>
  <c r="P39" i="23"/>
  <c r="P15" i="23"/>
  <c r="P23" i="23"/>
  <c r="P33" i="23"/>
  <c r="AJ8" i="23"/>
  <c r="AH8" i="23"/>
  <c r="CX16" i="21"/>
  <c r="CW16" i="21"/>
  <c r="DD16" i="21"/>
  <c r="CY15" i="21"/>
  <c r="CZ15" i="21" s="1"/>
  <c r="CV17" i="21"/>
  <c r="DB17" i="21"/>
  <c r="DC17" i="21"/>
  <c r="G3" i="23" l="1"/>
  <c r="AH15" i="23"/>
  <c r="AJ15" i="23"/>
  <c r="AH40" i="23"/>
  <c r="AJ40" i="23"/>
  <c r="AH30" i="23"/>
  <c r="AJ30" i="23"/>
  <c r="AJ13" i="23"/>
  <c r="AH13" i="23"/>
  <c r="AH39" i="23"/>
  <c r="AJ39" i="23"/>
  <c r="AJ42" i="23"/>
  <c r="AH42" i="23"/>
  <c r="AJ19" i="23"/>
  <c r="AH19" i="23"/>
  <c r="AJ20" i="23"/>
  <c r="AH20" i="23"/>
  <c r="AJ21" i="23"/>
  <c r="AH21" i="23"/>
  <c r="AH38" i="23"/>
  <c r="AJ38" i="23"/>
  <c r="AJ25" i="23"/>
  <c r="AH25" i="23"/>
  <c r="AJ26" i="23"/>
  <c r="AH26" i="23"/>
  <c r="AJ23" i="23"/>
  <c r="AH23" i="23"/>
  <c r="AJ34" i="23"/>
  <c r="AH34" i="23"/>
  <c r="AJ32" i="23"/>
  <c r="AH32" i="23"/>
  <c r="AJ17" i="23"/>
  <c r="AH17" i="23"/>
  <c r="AJ36" i="23"/>
  <c r="AH36" i="23"/>
  <c r="AJ22" i="23"/>
  <c r="AH22" i="23"/>
  <c r="AJ37" i="23"/>
  <c r="AH37" i="23"/>
  <c r="AJ24" i="23"/>
  <c r="AH24" i="23"/>
  <c r="AH14" i="23"/>
  <c r="AJ14" i="23"/>
  <c r="AJ33" i="23"/>
  <c r="AH33" i="23"/>
  <c r="AJ27" i="23"/>
  <c r="AH27" i="23"/>
  <c r="AJ10" i="23"/>
  <c r="AH10" i="23"/>
  <c r="AJ9" i="23"/>
  <c r="AH9" i="23"/>
  <c r="AJ28" i="23"/>
  <c r="AH28" i="23"/>
  <c r="AJ31" i="23"/>
  <c r="AH31" i="23"/>
  <c r="AH11" i="23"/>
  <c r="AJ11" i="23"/>
  <c r="AH16" i="23"/>
  <c r="AJ16" i="23"/>
  <c r="AH41" i="23"/>
  <c r="AJ41" i="23"/>
  <c r="AJ35" i="23"/>
  <c r="AH35" i="23"/>
  <c r="AH12" i="23"/>
  <c r="AJ12" i="23"/>
  <c r="AJ29" i="23"/>
  <c r="AH29" i="23"/>
  <c r="AH18" i="23"/>
  <c r="AJ18" i="23"/>
  <c r="CW17" i="21"/>
  <c r="CX17" i="21"/>
  <c r="DD17" i="21"/>
  <c r="CY16" i="21"/>
  <c r="CZ16" i="21" s="1"/>
  <c r="CV18" i="21"/>
  <c r="V9" i="10"/>
  <c r="P9" i="10"/>
  <c r="N9" i="10"/>
  <c r="W9" i="10" s="1"/>
  <c r="L9" i="10"/>
  <c r="K9" i="10"/>
  <c r="J9" i="10"/>
  <c r="I9" i="10"/>
  <c r="V8" i="10"/>
  <c r="P8" i="10"/>
  <c r="N8" i="10"/>
  <c r="W8" i="10" s="1"/>
  <c r="L8" i="10"/>
  <c r="K8" i="10"/>
  <c r="J8" i="10"/>
  <c r="I8" i="10"/>
  <c r="Q8" i="10"/>
  <c r="Q9" i="10"/>
  <c r="DB18" i="21"/>
  <c r="Q4" i="10"/>
  <c r="DC18" i="21"/>
  <c r="D2" i="10"/>
  <c r="Q3" i="10"/>
  <c r="Q7" i="10"/>
  <c r="Q5" i="10"/>
  <c r="Q6" i="10"/>
  <c r="Q2" i="10"/>
  <c r="CX18" i="21" l="1"/>
  <c r="CW18" i="21"/>
  <c r="CY18" i="21" s="1"/>
  <c r="CZ18" i="21" s="1"/>
  <c r="DD18" i="21"/>
  <c r="CV19" i="21"/>
  <c r="CY17" i="21"/>
  <c r="CZ17" i="21" s="1"/>
  <c r="P2" i="10"/>
  <c r="X8" i="10"/>
  <c r="U8" i="10"/>
  <c r="X9" i="10"/>
  <c r="U9" i="10"/>
  <c r="DC19" i="21"/>
  <c r="DB19" i="21"/>
  <c r="CX19" i="21" l="1"/>
  <c r="CW19" i="21"/>
  <c r="DD19" i="21"/>
  <c r="CV20" i="21"/>
  <c r="DB20" i="21"/>
  <c r="DC20" i="21"/>
  <c r="Q4" i="3" l="1"/>
  <c r="CX20" i="21"/>
  <c r="CW20" i="21"/>
  <c r="CY20" i="21" s="1"/>
  <c r="CZ20" i="21" s="1"/>
  <c r="DD20" i="21"/>
  <c r="CY19" i="21"/>
  <c r="CZ19" i="21" s="1"/>
  <c r="CV21" i="21"/>
  <c r="D36" i="5"/>
  <c r="D37" i="5" s="1"/>
  <c r="DB21" i="21"/>
  <c r="DC21" i="21"/>
  <c r="CW21" i="21" l="1"/>
  <c r="CX21" i="21"/>
  <c r="DD21" i="21"/>
  <c r="CV22" i="21"/>
  <c r="Q2" i="3"/>
  <c r="DB22" i="21"/>
  <c r="DC22" i="21"/>
  <c r="CY21" i="21" l="1"/>
  <c r="CZ21" i="21" s="1"/>
  <c r="CX22" i="21"/>
  <c r="CW22" i="21"/>
  <c r="CY22" i="21" s="1"/>
  <c r="CZ22" i="21" s="1"/>
  <c r="DD22" i="21"/>
  <c r="CV23" i="21"/>
  <c r="DC23" i="21"/>
  <c r="DB23" i="21"/>
  <c r="CX23" i="21" l="1"/>
  <c r="CW23" i="21"/>
  <c r="DD23" i="21"/>
  <c r="CV24" i="21"/>
  <c r="M7" i="9"/>
  <c r="N7" i="9"/>
  <c r="O7" i="9"/>
  <c r="P7" i="9"/>
  <c r="Q7" i="9"/>
  <c r="R7" i="9"/>
  <c r="M8" i="9"/>
  <c r="N8" i="9"/>
  <c r="O8" i="9"/>
  <c r="P8" i="9"/>
  <c r="Q8" i="9"/>
  <c r="R8" i="9"/>
  <c r="DC24" i="21"/>
  <c r="DB24" i="21"/>
  <c r="CX24" i="21" l="1"/>
  <c r="CW24" i="21"/>
  <c r="CY24" i="21" s="1"/>
  <c r="CZ24" i="21" s="1"/>
  <c r="DD24" i="21"/>
  <c r="CY23" i="21"/>
  <c r="CZ23" i="21" s="1"/>
  <c r="C41" i="5"/>
  <c r="M3" i="5" l="1"/>
  <c r="BQ6" i="21"/>
  <c r="BR6" i="21"/>
  <c r="BS6" i="21"/>
  <c r="BO6" i="21"/>
  <c r="BN6" i="21"/>
  <c r="BM6" i="21"/>
  <c r="BL6" i="21"/>
  <c r="BK6" i="21"/>
  <c r="BJ6" i="21"/>
  <c r="BG6" i="21"/>
  <c r="BF6" i="21"/>
  <c r="BE6" i="21"/>
  <c r="BD6" i="21"/>
  <c r="BC6" i="21"/>
  <c r="BA6" i="21" l="1"/>
  <c r="CM6" i="21" l="1"/>
  <c r="CL6" i="21"/>
  <c r="CK6" i="21"/>
  <c r="CJ6" i="21"/>
  <c r="CI6" i="21"/>
  <c r="CH6" i="21"/>
  <c r="CG6" i="21"/>
  <c r="CF6" i="21"/>
  <c r="CE6" i="21"/>
  <c r="CD6" i="21"/>
  <c r="CC6" i="21"/>
  <c r="CB6" i="21"/>
  <c r="CA6" i="21"/>
  <c r="CK54" i="21"/>
  <c r="CJ54" i="21"/>
  <c r="CI54" i="21"/>
  <c r="CH54" i="21"/>
  <c r="CG54" i="21"/>
  <c r="CF54" i="21"/>
  <c r="CE54" i="21"/>
  <c r="CD54" i="21"/>
  <c r="CK53" i="21"/>
  <c r="CJ53" i="21"/>
  <c r="CI53" i="21"/>
  <c r="CH53" i="21"/>
  <c r="CG53" i="21"/>
  <c r="CF53" i="21"/>
  <c r="CE53" i="21"/>
  <c r="CD53" i="21"/>
  <c r="CK52" i="21"/>
  <c r="CJ52" i="21"/>
  <c r="CI52" i="21"/>
  <c r="CH52" i="21"/>
  <c r="CG52" i="21"/>
  <c r="CF52" i="21"/>
  <c r="CE52" i="21"/>
  <c r="CD52" i="21"/>
  <c r="CK51" i="21"/>
  <c r="CJ51" i="21"/>
  <c r="CI51" i="21"/>
  <c r="CH51" i="21"/>
  <c r="CG51" i="21"/>
  <c r="CF51" i="21"/>
  <c r="CE51" i="21"/>
  <c r="CD51" i="21"/>
  <c r="CK50" i="21"/>
  <c r="CJ50" i="21"/>
  <c r="CI50" i="21"/>
  <c r="CH50" i="21"/>
  <c r="CG50" i="21"/>
  <c r="CF50" i="21"/>
  <c r="CE50" i="21"/>
  <c r="CD50" i="21"/>
  <c r="CK49" i="21"/>
  <c r="CJ49" i="21"/>
  <c r="CI49" i="21"/>
  <c r="CH49" i="21"/>
  <c r="CG49" i="21"/>
  <c r="CF49" i="21"/>
  <c r="CE49" i="21"/>
  <c r="CD49" i="21"/>
  <c r="CK48" i="21"/>
  <c r="CJ48" i="21"/>
  <c r="CI48" i="21"/>
  <c r="CH48" i="21"/>
  <c r="CG48" i="21"/>
  <c r="CF48" i="21"/>
  <c r="CE48" i="21"/>
  <c r="CD48" i="21"/>
  <c r="CK47" i="21"/>
  <c r="CJ47" i="21"/>
  <c r="CI47" i="21"/>
  <c r="CH47" i="21"/>
  <c r="CG47" i="21"/>
  <c r="CF47" i="21"/>
  <c r="CE47" i="21"/>
  <c r="CD47" i="21"/>
  <c r="CK46" i="21"/>
  <c r="CJ46" i="21"/>
  <c r="CI46" i="21"/>
  <c r="CH46" i="21"/>
  <c r="CG46" i="21"/>
  <c r="CF46" i="21"/>
  <c r="CE46" i="21"/>
  <c r="CD46" i="21"/>
  <c r="CK45" i="21"/>
  <c r="CJ45" i="21"/>
  <c r="CI45" i="21"/>
  <c r="CH45" i="21"/>
  <c r="CG45" i="21"/>
  <c r="CF45" i="21"/>
  <c r="CE45" i="21"/>
  <c r="CD45" i="21"/>
  <c r="CK44" i="21"/>
  <c r="CJ44" i="21"/>
  <c r="CI44" i="21"/>
  <c r="CH44" i="21"/>
  <c r="CG44" i="21"/>
  <c r="CF44" i="21"/>
  <c r="CE44" i="21"/>
  <c r="CD44" i="21"/>
  <c r="CK43" i="21"/>
  <c r="CJ43" i="21"/>
  <c r="CI43" i="21"/>
  <c r="CH43" i="21"/>
  <c r="CG43" i="21"/>
  <c r="CF43" i="21"/>
  <c r="CE43" i="21"/>
  <c r="CD43" i="21"/>
  <c r="CK42" i="21"/>
  <c r="CJ42" i="21"/>
  <c r="CI42" i="21"/>
  <c r="CH42" i="21"/>
  <c r="CG42" i="21"/>
  <c r="CF42" i="21"/>
  <c r="CE42" i="21"/>
  <c r="CD42" i="21"/>
  <c r="CK41" i="21"/>
  <c r="CJ41" i="21"/>
  <c r="CI41" i="21"/>
  <c r="CH41" i="21"/>
  <c r="CG41" i="21"/>
  <c r="CF41" i="21"/>
  <c r="CE41" i="21"/>
  <c r="CD41" i="21"/>
  <c r="CK40" i="21"/>
  <c r="CJ40" i="21"/>
  <c r="CI40" i="21"/>
  <c r="CH40" i="21"/>
  <c r="CG40" i="21"/>
  <c r="CF40" i="21"/>
  <c r="CE40" i="21"/>
  <c r="CD40" i="21"/>
  <c r="CK39" i="21"/>
  <c r="CJ39" i="21"/>
  <c r="CI39" i="21"/>
  <c r="CH39" i="21"/>
  <c r="CG39" i="21"/>
  <c r="CF39" i="21"/>
  <c r="CE39" i="21"/>
  <c r="CD39" i="21"/>
  <c r="CK38" i="21"/>
  <c r="CJ38" i="21"/>
  <c r="CI38" i="21"/>
  <c r="CH38" i="21"/>
  <c r="CG38" i="21"/>
  <c r="CF38" i="21"/>
  <c r="CE38" i="21"/>
  <c r="CD38" i="21"/>
  <c r="CK37" i="21"/>
  <c r="CJ37" i="21"/>
  <c r="CI37" i="21"/>
  <c r="CH37" i="21"/>
  <c r="CG37" i="21"/>
  <c r="CF37" i="21"/>
  <c r="CE37" i="21"/>
  <c r="CD37" i="21"/>
  <c r="CK36" i="21"/>
  <c r="CJ36" i="21"/>
  <c r="CI36" i="21"/>
  <c r="CH36" i="21"/>
  <c r="CG36" i="21"/>
  <c r="CF36" i="21"/>
  <c r="CE36" i="21"/>
  <c r="CD36" i="21"/>
  <c r="CK35" i="21"/>
  <c r="CJ35" i="21"/>
  <c r="CI35" i="21"/>
  <c r="CH35" i="21"/>
  <c r="CG35" i="21"/>
  <c r="CF35" i="21"/>
  <c r="CE35" i="21"/>
  <c r="CD35" i="21"/>
  <c r="CK34" i="21"/>
  <c r="CJ34" i="21"/>
  <c r="CI34" i="21"/>
  <c r="CH34" i="21"/>
  <c r="CG34" i="21"/>
  <c r="CF34" i="21"/>
  <c r="CE34" i="21"/>
  <c r="CD34" i="21"/>
  <c r="CK33" i="21"/>
  <c r="CJ33" i="21"/>
  <c r="CI33" i="21"/>
  <c r="CH33" i="21"/>
  <c r="CG33" i="21"/>
  <c r="CF33" i="21"/>
  <c r="CE33" i="21"/>
  <c r="CD33" i="21"/>
  <c r="CK32" i="21"/>
  <c r="CJ32" i="21"/>
  <c r="CI32" i="21"/>
  <c r="CH32" i="21"/>
  <c r="CG32" i="21"/>
  <c r="CF32" i="21"/>
  <c r="CE32" i="21"/>
  <c r="CD32" i="21"/>
  <c r="CK31" i="21"/>
  <c r="CJ31" i="21"/>
  <c r="CI31" i="21"/>
  <c r="CH31" i="21"/>
  <c r="CG31" i="21"/>
  <c r="CF31" i="21"/>
  <c r="CE31" i="21"/>
  <c r="CD31" i="21"/>
  <c r="CK30" i="21"/>
  <c r="CJ30" i="21"/>
  <c r="CI30" i="21"/>
  <c r="CH30" i="21"/>
  <c r="CG30" i="21"/>
  <c r="CF30" i="21"/>
  <c r="CE30" i="21"/>
  <c r="CD30" i="21"/>
  <c r="CK29" i="21"/>
  <c r="CJ29" i="21"/>
  <c r="CI29" i="21"/>
  <c r="CH29" i="21"/>
  <c r="CG29" i="21"/>
  <c r="CF29" i="21"/>
  <c r="CE29" i="21"/>
  <c r="CD29" i="21"/>
  <c r="CK28" i="21"/>
  <c r="CJ28" i="21"/>
  <c r="CI28" i="21"/>
  <c r="CH28" i="21"/>
  <c r="CG28" i="21"/>
  <c r="CF28" i="21"/>
  <c r="CE28" i="21"/>
  <c r="CD28" i="21"/>
  <c r="CK27" i="21"/>
  <c r="CJ27" i="21"/>
  <c r="CI27" i="21"/>
  <c r="CH27" i="21"/>
  <c r="CG27" i="21"/>
  <c r="CF27" i="21"/>
  <c r="CE27" i="21"/>
  <c r="CD27" i="21"/>
  <c r="CK26" i="21"/>
  <c r="CJ26" i="21"/>
  <c r="CI26" i="21"/>
  <c r="CH26" i="21"/>
  <c r="CG26" i="21"/>
  <c r="CF26" i="21"/>
  <c r="CE26" i="21"/>
  <c r="CD26" i="21"/>
  <c r="CK25" i="21"/>
  <c r="CJ25" i="21"/>
  <c r="CI25" i="21"/>
  <c r="CH25" i="21"/>
  <c r="CG25" i="21"/>
  <c r="CF25" i="21"/>
  <c r="CE25" i="21"/>
  <c r="CD25" i="21"/>
  <c r="CK24" i="21"/>
  <c r="CJ24" i="21"/>
  <c r="CI24" i="21"/>
  <c r="CH24" i="21"/>
  <c r="CG24" i="21"/>
  <c r="CF24" i="21"/>
  <c r="CE24" i="21"/>
  <c r="CD24" i="21"/>
  <c r="CK23" i="21"/>
  <c r="CJ23" i="21"/>
  <c r="CI23" i="21"/>
  <c r="CH23" i="21"/>
  <c r="CG23" i="21"/>
  <c r="CF23" i="21"/>
  <c r="CE23" i="21"/>
  <c r="CD23" i="21"/>
  <c r="CK22" i="21"/>
  <c r="CJ22" i="21"/>
  <c r="CI22" i="21"/>
  <c r="CH22" i="21"/>
  <c r="CG22" i="21"/>
  <c r="CF22" i="21"/>
  <c r="CE22" i="21"/>
  <c r="CD22" i="21"/>
  <c r="CK21" i="21"/>
  <c r="CJ21" i="21"/>
  <c r="CI21" i="21"/>
  <c r="CH21" i="21"/>
  <c r="CG21" i="21"/>
  <c r="CF21" i="21"/>
  <c r="CE21" i="21"/>
  <c r="CD21" i="21"/>
  <c r="CK20" i="21"/>
  <c r="CJ20" i="21"/>
  <c r="CI20" i="21"/>
  <c r="CH20" i="21"/>
  <c r="CG20" i="21"/>
  <c r="CF20" i="21"/>
  <c r="CE20" i="21"/>
  <c r="CD20" i="21"/>
  <c r="CK19" i="21"/>
  <c r="CJ19" i="21"/>
  <c r="CI19" i="21"/>
  <c r="CH19" i="21"/>
  <c r="CG19" i="21"/>
  <c r="CF19" i="21"/>
  <c r="CE19" i="21"/>
  <c r="CD19" i="21"/>
  <c r="CK18" i="21"/>
  <c r="CJ18" i="21"/>
  <c r="CI18" i="21"/>
  <c r="CH18" i="21"/>
  <c r="CG18" i="21"/>
  <c r="CF18" i="21"/>
  <c r="CE18" i="21"/>
  <c r="CD18" i="21"/>
  <c r="CK17" i="21"/>
  <c r="CJ17" i="21"/>
  <c r="CI17" i="21"/>
  <c r="CH17" i="21"/>
  <c r="CG17" i="21"/>
  <c r="CF17" i="21"/>
  <c r="CE17" i="21"/>
  <c r="CD17" i="21"/>
  <c r="CK16" i="21"/>
  <c r="CJ16" i="21"/>
  <c r="CI16" i="21"/>
  <c r="CH16" i="21"/>
  <c r="CG16" i="21"/>
  <c r="CF16" i="21"/>
  <c r="CE16" i="21"/>
  <c r="CD16" i="21"/>
  <c r="CK15" i="21"/>
  <c r="CJ15" i="21"/>
  <c r="CI15" i="21"/>
  <c r="CH15" i="21"/>
  <c r="CG15" i="21"/>
  <c r="CF15" i="21"/>
  <c r="CE15" i="21"/>
  <c r="CD15" i="21"/>
  <c r="CK14" i="21"/>
  <c r="CJ14" i="21"/>
  <c r="CI14" i="21"/>
  <c r="CH14" i="21"/>
  <c r="CG14" i="21"/>
  <c r="CF14" i="21"/>
  <c r="CE14" i="21"/>
  <c r="CD14" i="21"/>
  <c r="CK13" i="21"/>
  <c r="CJ13" i="21"/>
  <c r="CI13" i="21"/>
  <c r="CH13" i="21"/>
  <c r="CG13" i="21"/>
  <c r="CF13" i="21"/>
  <c r="CE13" i="21"/>
  <c r="CD13" i="21"/>
  <c r="CK12" i="21"/>
  <c r="CJ12" i="21"/>
  <c r="CI12" i="21"/>
  <c r="CH12" i="21"/>
  <c r="CG12" i="21"/>
  <c r="CF12" i="21"/>
  <c r="CE12" i="21"/>
  <c r="CD12" i="21"/>
  <c r="CK11" i="21"/>
  <c r="CJ11" i="21"/>
  <c r="CI11" i="21"/>
  <c r="CH11" i="21"/>
  <c r="CG11" i="21"/>
  <c r="CF11" i="21"/>
  <c r="CE11" i="21"/>
  <c r="CD11" i="21"/>
  <c r="CK10" i="21"/>
  <c r="CJ10" i="21"/>
  <c r="CI10" i="21"/>
  <c r="CH10" i="21"/>
  <c r="CG10" i="21"/>
  <c r="CF10" i="21"/>
  <c r="CE10" i="21"/>
  <c r="CD10" i="21"/>
  <c r="CK9" i="21"/>
  <c r="CJ9" i="21"/>
  <c r="CI9" i="21"/>
  <c r="CH9" i="21"/>
  <c r="CG9" i="21"/>
  <c r="CF9" i="21"/>
  <c r="CE9" i="21"/>
  <c r="CD9" i="21"/>
  <c r="CQ54" i="21"/>
  <c r="CP54" i="21"/>
  <c r="CO54" i="21"/>
  <c r="CN54" i="21"/>
  <c r="CQ53" i="21"/>
  <c r="CP53" i="21"/>
  <c r="CO53" i="21"/>
  <c r="CN53" i="21"/>
  <c r="CQ52" i="21"/>
  <c r="CP52" i="21"/>
  <c r="CO52" i="21"/>
  <c r="CN52" i="21"/>
  <c r="CQ51" i="21"/>
  <c r="CP51" i="21"/>
  <c r="CO51" i="21"/>
  <c r="CN51" i="21"/>
  <c r="CQ50" i="21"/>
  <c r="CP50" i="21"/>
  <c r="CO50" i="21"/>
  <c r="CN50" i="21"/>
  <c r="CQ49" i="21"/>
  <c r="CP49" i="21"/>
  <c r="CO49" i="21"/>
  <c r="CN49" i="21"/>
  <c r="CQ48" i="21"/>
  <c r="CP48" i="21"/>
  <c r="CO48" i="21"/>
  <c r="CN48" i="21"/>
  <c r="CQ47" i="21"/>
  <c r="CP47" i="21"/>
  <c r="CO47" i="21"/>
  <c r="CN47" i="21"/>
  <c r="CQ46" i="21"/>
  <c r="CP46" i="21"/>
  <c r="CO46" i="21"/>
  <c r="CN46" i="21"/>
  <c r="CQ45" i="21"/>
  <c r="CP45" i="21"/>
  <c r="CO45" i="21"/>
  <c r="CN45" i="21"/>
  <c r="CQ44" i="21"/>
  <c r="CP44" i="21"/>
  <c r="CO44" i="21"/>
  <c r="CN44" i="21"/>
  <c r="CQ43" i="21"/>
  <c r="CP43" i="21"/>
  <c r="CO43" i="21"/>
  <c r="CN43" i="21"/>
  <c r="CQ42" i="21"/>
  <c r="CP42" i="21"/>
  <c r="CO42" i="21"/>
  <c r="CN42" i="21"/>
  <c r="CQ41" i="21"/>
  <c r="CP41" i="21"/>
  <c r="CO41" i="21"/>
  <c r="CN41" i="21"/>
  <c r="CQ40" i="21"/>
  <c r="CP40" i="21"/>
  <c r="CO40" i="21"/>
  <c r="CN40" i="21"/>
  <c r="CQ39" i="21"/>
  <c r="CP39" i="21"/>
  <c r="CO39" i="21"/>
  <c r="CN39" i="21"/>
  <c r="CQ38" i="21"/>
  <c r="CP38" i="21"/>
  <c r="CO38" i="21"/>
  <c r="CN38" i="21"/>
  <c r="CQ37" i="21"/>
  <c r="CP37" i="21"/>
  <c r="CO37" i="21"/>
  <c r="CN37" i="21"/>
  <c r="CQ36" i="21"/>
  <c r="CP36" i="21"/>
  <c r="CO36" i="21"/>
  <c r="CN36" i="21"/>
  <c r="CQ35" i="21"/>
  <c r="CP35" i="21"/>
  <c r="CO35" i="21"/>
  <c r="CN35" i="21"/>
  <c r="CQ34" i="21"/>
  <c r="CP34" i="21"/>
  <c r="CO34" i="21"/>
  <c r="CN34" i="21"/>
  <c r="CQ33" i="21"/>
  <c r="CP33" i="21"/>
  <c r="CO33" i="21"/>
  <c r="CN33" i="21"/>
  <c r="CQ32" i="21"/>
  <c r="CP32" i="21"/>
  <c r="CO32" i="21"/>
  <c r="CN32" i="21"/>
  <c r="CQ31" i="21"/>
  <c r="CP31" i="21"/>
  <c r="CO31" i="21"/>
  <c r="CN31" i="21"/>
  <c r="CQ30" i="21"/>
  <c r="CP30" i="21"/>
  <c r="CO30" i="21"/>
  <c r="CN30" i="21"/>
  <c r="CQ29" i="21"/>
  <c r="CP29" i="21"/>
  <c r="CO29" i="21"/>
  <c r="CN29" i="21"/>
  <c r="CQ28" i="21"/>
  <c r="CP28" i="21"/>
  <c r="CO28" i="21"/>
  <c r="CN28" i="21"/>
  <c r="CQ27" i="21"/>
  <c r="CP27" i="21"/>
  <c r="CO27" i="21"/>
  <c r="CN27" i="21"/>
  <c r="CQ26" i="21"/>
  <c r="CP26" i="21"/>
  <c r="CO26" i="21"/>
  <c r="CN26" i="21"/>
  <c r="CQ25" i="21"/>
  <c r="CP25" i="21"/>
  <c r="CO25" i="21"/>
  <c r="CN25" i="21"/>
  <c r="CQ24" i="21"/>
  <c r="CP24" i="21"/>
  <c r="CO24" i="21"/>
  <c r="CN24" i="21"/>
  <c r="CQ23" i="21"/>
  <c r="CP23" i="21"/>
  <c r="CO23" i="21"/>
  <c r="CN23" i="21"/>
  <c r="CQ22" i="21"/>
  <c r="CP22" i="21"/>
  <c r="CO22" i="21"/>
  <c r="CN22" i="21"/>
  <c r="CQ21" i="21"/>
  <c r="CP21" i="21"/>
  <c r="CO21" i="21"/>
  <c r="CN21" i="21"/>
  <c r="CQ20" i="21"/>
  <c r="CP20" i="21"/>
  <c r="CO20" i="21"/>
  <c r="CN20" i="21"/>
  <c r="CQ19" i="21"/>
  <c r="CP19" i="21"/>
  <c r="CO19" i="21"/>
  <c r="CN19" i="21"/>
  <c r="CQ18" i="21"/>
  <c r="CP18" i="21"/>
  <c r="CO18" i="21"/>
  <c r="CN18" i="21"/>
  <c r="CQ17" i="21"/>
  <c r="CP17" i="21"/>
  <c r="CO17" i="21"/>
  <c r="CN17" i="21"/>
  <c r="CQ16" i="21"/>
  <c r="CP16" i="21"/>
  <c r="CO16" i="21"/>
  <c r="CN16" i="21"/>
  <c r="CQ15" i="21"/>
  <c r="CP15" i="21"/>
  <c r="CO15" i="21"/>
  <c r="CN15" i="21"/>
  <c r="CQ14" i="21"/>
  <c r="CP14" i="21"/>
  <c r="CO14" i="21"/>
  <c r="CN14" i="21"/>
  <c r="CQ13" i="21"/>
  <c r="CP13" i="21"/>
  <c r="CO13" i="21"/>
  <c r="CN13" i="21"/>
  <c r="CQ12" i="21"/>
  <c r="CP12" i="21"/>
  <c r="CO12" i="21"/>
  <c r="CN12" i="21"/>
  <c r="CQ11" i="21"/>
  <c r="CP11" i="21"/>
  <c r="CO11" i="21"/>
  <c r="CN11" i="21"/>
  <c r="CQ10" i="21"/>
  <c r="CP10" i="21"/>
  <c r="CO10" i="21"/>
  <c r="CN10" i="21"/>
  <c r="CQ9" i="21"/>
  <c r="CP9" i="21"/>
  <c r="CO9" i="21"/>
  <c r="CN9" i="21"/>
  <c r="BY1" i="21"/>
  <c r="BW9" i="21" s="1"/>
  <c r="BW10" i="21" l="1"/>
  <c r="BJ9" i="21"/>
  <c r="BW11" i="21" l="1"/>
  <c r="AZ10" i="21"/>
  <c r="BW12" i="21" l="1"/>
  <c r="BJ10" i="21"/>
  <c r="AZ11" i="21"/>
  <c r="BW13" i="21" l="1"/>
  <c r="BJ11" i="21"/>
  <c r="AZ12" i="21"/>
  <c r="BW14" i="21" l="1"/>
  <c r="AZ13" i="21"/>
  <c r="BJ12" i="21"/>
  <c r="BW15" i="21" l="1"/>
  <c r="AZ14" i="21"/>
  <c r="BJ14" i="21"/>
  <c r="BJ13" i="21"/>
  <c r="BW16" i="21" l="1"/>
  <c r="AZ15" i="21"/>
  <c r="BJ15" i="21"/>
  <c r="AZ16" i="21" l="1"/>
  <c r="BW17" i="21"/>
  <c r="BJ16" i="21"/>
  <c r="AZ17" i="21" l="1"/>
  <c r="AZ18" i="21" s="1"/>
  <c r="BO16" i="21"/>
  <c r="BW18" i="21"/>
  <c r="BJ17" i="21"/>
  <c r="AL62" i="21"/>
  <c r="AL61" i="21"/>
  <c r="AL60" i="21"/>
  <c r="AL59" i="21"/>
  <c r="AL58" i="21"/>
  <c r="AL57" i="21"/>
  <c r="AL56" i="21"/>
  <c r="AL55" i="21"/>
  <c r="AL54" i="21"/>
  <c r="AL53" i="21"/>
  <c r="AL52" i="21"/>
  <c r="AL51" i="21"/>
  <c r="AL50" i="21"/>
  <c r="AL49" i="21"/>
  <c r="AL48" i="21"/>
  <c r="AL47" i="21"/>
  <c r="AL46" i="21"/>
  <c r="AL45" i="21"/>
  <c r="AL44" i="21"/>
  <c r="AL43" i="21"/>
  <c r="AL42" i="21"/>
  <c r="AL41" i="21"/>
  <c r="AL40" i="21"/>
  <c r="AL39" i="21"/>
  <c r="AL38" i="21"/>
  <c r="AL37" i="21"/>
  <c r="AL36" i="21"/>
  <c r="AL35" i="21"/>
  <c r="AL34" i="21"/>
  <c r="AL33" i="21"/>
  <c r="AL32" i="21"/>
  <c r="AL31" i="21"/>
  <c r="AL30" i="21"/>
  <c r="AL29" i="21"/>
  <c r="AL28" i="21"/>
  <c r="AL27" i="21"/>
  <c r="AL26" i="21"/>
  <c r="AL25" i="21"/>
  <c r="AL24" i="21"/>
  <c r="AL23" i="21"/>
  <c r="AL22" i="21"/>
  <c r="AL21" i="21"/>
  <c r="AL20" i="21"/>
  <c r="AL19" i="21"/>
  <c r="AL18" i="21"/>
  <c r="AL17" i="21"/>
  <c r="AL16" i="21"/>
  <c r="AL15" i="21"/>
  <c r="AL14" i="21"/>
  <c r="AL13" i="21"/>
  <c r="AL12" i="21"/>
  <c r="AL11" i="21"/>
  <c r="AL10" i="21"/>
  <c r="AL9" i="21"/>
  <c r="AL8" i="21"/>
  <c r="AL7" i="21"/>
  <c r="AL6" i="21"/>
  <c r="AL5" i="21"/>
  <c r="AL4" i="21"/>
  <c r="AL3" i="21"/>
  <c r="AL2" i="21"/>
  <c r="BP3" i="21" l="1"/>
  <c r="BP18" i="21" s="1"/>
  <c r="BW19" i="21"/>
  <c r="BW20" i="21" s="1"/>
  <c r="BR3" i="21"/>
  <c r="BR18" i="21" s="1"/>
  <c r="BS3" i="21"/>
  <c r="BS18" i="21" s="1"/>
  <c r="BQ3" i="21"/>
  <c r="BQ18" i="21" s="1"/>
  <c r="BN3" i="21"/>
  <c r="CP3" i="21"/>
  <c r="CL3" i="21"/>
  <c r="CH3" i="21"/>
  <c r="CD3" i="21"/>
  <c r="BZ3" i="21"/>
  <c r="BL3" i="21"/>
  <c r="BL18" i="21" s="1"/>
  <c r="CR3" i="21"/>
  <c r="CJ3" i="21"/>
  <c r="CB3" i="21"/>
  <c r="CB18" i="21" s="1"/>
  <c r="BJ3" i="21"/>
  <c r="CM3" i="21"/>
  <c r="CM18" i="21" s="1"/>
  <c r="BM3" i="21"/>
  <c r="CO3" i="21"/>
  <c r="CK3" i="21"/>
  <c r="CG3" i="21"/>
  <c r="CC3" i="21"/>
  <c r="CC18" i="21" s="1"/>
  <c r="BK3" i="21"/>
  <c r="BK18" i="21" s="1"/>
  <c r="CN3" i="21"/>
  <c r="CF3" i="21"/>
  <c r="CQ3" i="21"/>
  <c r="CI3" i="21"/>
  <c r="CE3" i="21"/>
  <c r="CA3" i="21"/>
  <c r="CA18" i="21" s="1"/>
  <c r="BD3" i="21"/>
  <c r="BD18" i="21" s="1"/>
  <c r="BG3" i="21"/>
  <c r="BG18" i="21" s="1"/>
  <c r="BF3" i="21"/>
  <c r="BF18" i="21" s="1"/>
  <c r="BJ18" i="21"/>
  <c r="AP7" i="23"/>
  <c r="BI3" i="21"/>
  <c r="BE3" i="21"/>
  <c r="BU3" i="21"/>
  <c r="BH3" i="21"/>
  <c r="BT3" i="21"/>
  <c r="BT18" i="21" s="1"/>
  <c r="BC3" i="21"/>
  <c r="BO3" i="21"/>
  <c r="BO18" i="21" s="1"/>
  <c r="BI18" i="21"/>
  <c r="AZ19" i="21"/>
  <c r="CM19" i="21" l="1"/>
  <c r="H3" i="23"/>
  <c r="P3" i="23" s="1"/>
  <c r="CA19" i="21"/>
  <c r="CC19" i="21"/>
  <c r="CL19" i="21"/>
  <c r="CR20" i="21"/>
  <c r="CB19" i="21"/>
  <c r="BZ19" i="21"/>
  <c r="CL9" i="21"/>
  <c r="CL10" i="21"/>
  <c r="CL11" i="21"/>
  <c r="CL12" i="21"/>
  <c r="CL13" i="21"/>
  <c r="CL14" i="21"/>
  <c r="CL15" i="21"/>
  <c r="CL16" i="21"/>
  <c r="CL17" i="21"/>
  <c r="CR19" i="21"/>
  <c r="CB9" i="21"/>
  <c r="CB10" i="21"/>
  <c r="CB11" i="21"/>
  <c r="CB12" i="21"/>
  <c r="CB13" i="21"/>
  <c r="CB14" i="21"/>
  <c r="CB15" i="21"/>
  <c r="CB16" i="21"/>
  <c r="CB17" i="21"/>
  <c r="BZ9" i="21"/>
  <c r="BZ10" i="21"/>
  <c r="BZ11" i="21"/>
  <c r="BZ12" i="21"/>
  <c r="BZ13" i="21"/>
  <c r="BZ14" i="21"/>
  <c r="BZ15" i="21"/>
  <c r="BZ16" i="21"/>
  <c r="BZ17" i="21"/>
  <c r="CC9" i="21"/>
  <c r="CC10" i="21"/>
  <c r="CC11" i="21"/>
  <c r="CC12" i="21"/>
  <c r="CC13" i="21"/>
  <c r="CC14" i="21"/>
  <c r="CC15" i="21"/>
  <c r="CC16" i="21"/>
  <c r="CC17" i="21"/>
  <c r="CA9" i="21"/>
  <c r="CA10" i="21"/>
  <c r="CA11" i="21"/>
  <c r="CA12" i="21"/>
  <c r="CA13" i="21"/>
  <c r="CA14" i="21"/>
  <c r="CA15" i="21"/>
  <c r="CA16" i="21"/>
  <c r="CA17" i="21"/>
  <c r="CM9" i="21"/>
  <c r="CM10" i="21"/>
  <c r="CM11" i="21"/>
  <c r="CM12" i="21"/>
  <c r="CM13" i="21"/>
  <c r="CM14" i="21"/>
  <c r="CM15" i="21"/>
  <c r="CM16" i="21"/>
  <c r="CM17" i="21"/>
  <c r="CR9" i="21"/>
  <c r="CR10" i="21"/>
  <c r="CR11" i="21"/>
  <c r="CR12" i="21"/>
  <c r="CR13" i="21"/>
  <c r="CR14" i="21"/>
  <c r="CR15" i="21"/>
  <c r="CR16" i="21"/>
  <c r="CR17" i="21"/>
  <c r="CL18" i="21"/>
  <c r="BZ18" i="21"/>
  <c r="CR18" i="21"/>
  <c r="BK9" i="21"/>
  <c r="BK10" i="21"/>
  <c r="BK11" i="21"/>
  <c r="BK12" i="21"/>
  <c r="BK13" i="21"/>
  <c r="BK14" i="21"/>
  <c r="BK15" i="21"/>
  <c r="BK16" i="21"/>
  <c r="BK17" i="21"/>
  <c r="BL9" i="21"/>
  <c r="BL10" i="21"/>
  <c r="BL11" i="21"/>
  <c r="BL12" i="21"/>
  <c r="BL13" i="21"/>
  <c r="BL14" i="21"/>
  <c r="BL15" i="21"/>
  <c r="BL16" i="21"/>
  <c r="BL17" i="21"/>
  <c r="BM9" i="21"/>
  <c r="BM10" i="21"/>
  <c r="BM11" i="21"/>
  <c r="BM12" i="21"/>
  <c r="BM13" i="21"/>
  <c r="BM14" i="21"/>
  <c r="BM15" i="21"/>
  <c r="BM17" i="21"/>
  <c r="BM16" i="21"/>
  <c r="BN19" i="21"/>
  <c r="BM19" i="21"/>
  <c r="BM18" i="21"/>
  <c r="BN9" i="21"/>
  <c r="BN10" i="21"/>
  <c r="BN11" i="21"/>
  <c r="BN12" i="21"/>
  <c r="BN13" i="21"/>
  <c r="BN14" i="21"/>
  <c r="BN15" i="21"/>
  <c r="BN17" i="21"/>
  <c r="BN16" i="21"/>
  <c r="BN18" i="21"/>
  <c r="CL20" i="21"/>
  <c r="CM20" i="21"/>
  <c r="BW21" i="21"/>
  <c r="CR21" i="21" s="1"/>
  <c r="CC20" i="21"/>
  <c r="BZ20" i="21"/>
  <c r="CB20" i="21"/>
  <c r="CA20" i="21"/>
  <c r="BK19" i="21"/>
  <c r="BL19" i="21"/>
  <c r="BJ19" i="21"/>
  <c r="AQ7" i="23"/>
  <c r="BS9" i="21"/>
  <c r="BS10" i="21"/>
  <c r="BS11" i="21"/>
  <c r="BS13" i="21"/>
  <c r="BS12" i="21"/>
  <c r="BS14" i="21"/>
  <c r="BS15" i="21"/>
  <c r="BS16" i="21"/>
  <c r="BS17" i="21"/>
  <c r="BU9" i="21"/>
  <c r="BU10" i="21"/>
  <c r="BU11" i="21"/>
  <c r="BU13" i="21"/>
  <c r="BU12" i="21"/>
  <c r="BU14" i="21"/>
  <c r="BU15" i="21"/>
  <c r="BU16" i="21"/>
  <c r="BU17" i="21"/>
  <c r="BU18" i="21"/>
  <c r="BE9" i="21"/>
  <c r="BE10" i="21"/>
  <c r="BE11" i="21"/>
  <c r="BE13" i="21"/>
  <c r="BE12" i="21"/>
  <c r="BE14" i="21"/>
  <c r="BE15" i="21"/>
  <c r="BE16" i="21"/>
  <c r="BE17" i="21"/>
  <c r="BE18" i="21"/>
  <c r="BF9" i="21"/>
  <c r="BF10" i="21"/>
  <c r="BF11" i="21"/>
  <c r="BF13" i="21"/>
  <c r="BF12" i="21"/>
  <c r="BF14" i="21"/>
  <c r="BF15" i="21"/>
  <c r="BF16" i="21"/>
  <c r="BF17" i="21"/>
  <c r="BG9" i="21"/>
  <c r="BG10" i="21"/>
  <c r="BG11" i="21"/>
  <c r="BG13" i="21"/>
  <c r="BG12" i="21"/>
  <c r="BG14" i="21"/>
  <c r="BG15" i="21"/>
  <c r="BG16" i="21"/>
  <c r="BG17" i="21"/>
  <c r="BH9" i="21"/>
  <c r="BH10" i="21"/>
  <c r="BH11" i="21"/>
  <c r="BH12" i="21"/>
  <c r="BH13" i="21"/>
  <c r="BH14" i="21"/>
  <c r="BH15" i="21"/>
  <c r="BH16" i="21"/>
  <c r="BH17" i="21"/>
  <c r="BI9" i="21"/>
  <c r="BI10" i="21"/>
  <c r="BI11" i="21"/>
  <c r="BI12" i="21"/>
  <c r="BI13" i="21"/>
  <c r="BI14" i="21"/>
  <c r="BI15" i="21"/>
  <c r="BI16" i="21"/>
  <c r="BI17" i="21"/>
  <c r="BT9" i="21"/>
  <c r="BT10" i="21"/>
  <c r="BT11" i="21"/>
  <c r="BT13" i="21"/>
  <c r="BT12" i="21"/>
  <c r="BT14" i="21"/>
  <c r="BT15" i="21"/>
  <c r="BT16" i="21"/>
  <c r="BT17" i="21"/>
  <c r="BD9" i="21"/>
  <c r="BD10" i="21"/>
  <c r="BD11" i="21"/>
  <c r="BD13" i="21"/>
  <c r="BD12" i="21"/>
  <c r="BD14" i="21"/>
  <c r="BD15" i="21"/>
  <c r="BD16" i="21"/>
  <c r="BD17" i="21"/>
  <c r="BH18" i="21"/>
  <c r="BO9" i="21"/>
  <c r="BO10" i="21"/>
  <c r="BO11" i="21"/>
  <c r="BO12" i="21"/>
  <c r="BO13" i="21"/>
  <c r="BO14" i="21"/>
  <c r="BO15" i="21"/>
  <c r="BO17" i="21"/>
  <c r="BP9" i="21"/>
  <c r="BP10" i="21"/>
  <c r="BP11" i="21"/>
  <c r="BP13" i="21"/>
  <c r="BP12" i="21"/>
  <c r="BP14" i="21"/>
  <c r="BP15" i="21"/>
  <c r="BP16" i="21"/>
  <c r="BP17" i="21"/>
  <c r="BQ9" i="21"/>
  <c r="BQ10" i="21"/>
  <c r="BQ11" i="21"/>
  <c r="BQ12" i="21"/>
  <c r="BQ13" i="21"/>
  <c r="BQ14" i="21"/>
  <c r="BQ15" i="21"/>
  <c r="BQ16" i="21"/>
  <c r="BQ17" i="21"/>
  <c r="BR9" i="21"/>
  <c r="BR10" i="21"/>
  <c r="BR11" i="21"/>
  <c r="BR13" i="21"/>
  <c r="BR12" i="21"/>
  <c r="BR14" i="21"/>
  <c r="BR15" i="21"/>
  <c r="BR16" i="21"/>
  <c r="BR17" i="21"/>
  <c r="BC9" i="21"/>
  <c r="BC10" i="21"/>
  <c r="BC11" i="21"/>
  <c r="BC13" i="21"/>
  <c r="BC12" i="21"/>
  <c r="BC14" i="21"/>
  <c r="BC15" i="21"/>
  <c r="BC16" i="21"/>
  <c r="BC17" i="21"/>
  <c r="BC18" i="21"/>
  <c r="BS19" i="21"/>
  <c r="BO19" i="21"/>
  <c r="BF19" i="21"/>
  <c r="BR19" i="21"/>
  <c r="BH19" i="21"/>
  <c r="BC19" i="21"/>
  <c r="BQ19" i="21"/>
  <c r="BE19" i="21"/>
  <c r="BU19" i="21"/>
  <c r="BT19" i="21"/>
  <c r="BP19" i="21"/>
  <c r="BD19" i="21"/>
  <c r="BI19" i="21"/>
  <c r="BG19" i="21"/>
  <c r="AZ20" i="21"/>
  <c r="B16" i="21"/>
  <c r="U1" i="21"/>
  <c r="V1" i="21" s="1"/>
  <c r="W1" i="21" s="1"/>
  <c r="X1" i="21" s="1"/>
  <c r="Y1" i="21" s="1"/>
  <c r="Z1" i="21" s="1"/>
  <c r="AA1" i="21" s="1"/>
  <c r="AB1" i="21" s="1"/>
  <c r="AC1" i="21" s="1"/>
  <c r="AD1" i="21" s="1"/>
  <c r="AE1" i="21" s="1"/>
  <c r="AF1" i="21" s="1"/>
  <c r="AG1" i="21" s="1"/>
  <c r="B2" i="21"/>
  <c r="BX18" i="21" l="1"/>
  <c r="BX19" i="21"/>
  <c r="BX17" i="21"/>
  <c r="BX13" i="21"/>
  <c r="BX9" i="21"/>
  <c r="BX16" i="21"/>
  <c r="BX12" i="21"/>
  <c r="BX15" i="21"/>
  <c r="BX11" i="21"/>
  <c r="BX14" i="21"/>
  <c r="BX10" i="21"/>
  <c r="BN20" i="21"/>
  <c r="BM20" i="21"/>
  <c r="CL21" i="21"/>
  <c r="CM21" i="21"/>
  <c r="BX20" i="21"/>
  <c r="BW22" i="21"/>
  <c r="CR22" i="21" s="1"/>
  <c r="CC21" i="21"/>
  <c r="CB21" i="21"/>
  <c r="CA21" i="21"/>
  <c r="BZ21" i="21"/>
  <c r="BA16" i="21"/>
  <c r="BL20" i="21"/>
  <c r="BK20" i="21"/>
  <c r="BJ20" i="21"/>
  <c r="AR7" i="23"/>
  <c r="BA13" i="21"/>
  <c r="BA19" i="21"/>
  <c r="BA11" i="21"/>
  <c r="BA18" i="21"/>
  <c r="BA14" i="21"/>
  <c r="BA10" i="21"/>
  <c r="BA15" i="21"/>
  <c r="BA17" i="21"/>
  <c r="BA12" i="21"/>
  <c r="BA9" i="21"/>
  <c r="BU20" i="21"/>
  <c r="BQ20" i="21"/>
  <c r="BH20" i="21"/>
  <c r="BD20" i="21"/>
  <c r="BT20" i="21"/>
  <c r="BO20" i="21"/>
  <c r="BE20" i="21"/>
  <c r="BI20" i="21"/>
  <c r="BS20" i="21"/>
  <c r="BC20" i="21"/>
  <c r="BG20" i="21"/>
  <c r="BF20" i="21"/>
  <c r="BR20" i="21"/>
  <c r="BP20" i="21"/>
  <c r="AZ21" i="21"/>
  <c r="AI62" i="21"/>
  <c r="AI58" i="21"/>
  <c r="AI61" i="21"/>
  <c r="AI57" i="21"/>
  <c r="AI53" i="21"/>
  <c r="AI60" i="21"/>
  <c r="AI56" i="21"/>
  <c r="AI55" i="21"/>
  <c r="AI54" i="21"/>
  <c r="AI47" i="21"/>
  <c r="AI59" i="21"/>
  <c r="AI51" i="21"/>
  <c r="AI50" i="21"/>
  <c r="AI46" i="21"/>
  <c r="AI52" i="21"/>
  <c r="AI48" i="21"/>
  <c r="AI41" i="21"/>
  <c r="AI49" i="21"/>
  <c r="AI44" i="21"/>
  <c r="AI43" i="21"/>
  <c r="AI39" i="21"/>
  <c r="AI45" i="21"/>
  <c r="AI40" i="21"/>
  <c r="AI34" i="21"/>
  <c r="AI30" i="21"/>
  <c r="AI26" i="21"/>
  <c r="AI22" i="21"/>
  <c r="AI38" i="21"/>
  <c r="AI37" i="21"/>
  <c r="AI33" i="21"/>
  <c r="AI29" i="21"/>
  <c r="AI25" i="21"/>
  <c r="AI21" i="21"/>
  <c r="AI36" i="21"/>
  <c r="AI32" i="21"/>
  <c r="AI28" i="21"/>
  <c r="AI24" i="21"/>
  <c r="AI20" i="21"/>
  <c r="AI35" i="21"/>
  <c r="AI19" i="21"/>
  <c r="AI18" i="21"/>
  <c r="AI15" i="21"/>
  <c r="AI9" i="21"/>
  <c r="AI42" i="21"/>
  <c r="AI31" i="21"/>
  <c r="AI17" i="21"/>
  <c r="AI14" i="21"/>
  <c r="AI10" i="21"/>
  <c r="B5" i="21"/>
  <c r="AI27" i="21"/>
  <c r="AI16" i="21"/>
  <c r="AI12" i="21"/>
  <c r="AI11" i="21"/>
  <c r="AI8" i="21"/>
  <c r="AI6" i="21"/>
  <c r="AI4" i="21"/>
  <c r="AI13" i="21"/>
  <c r="AI23" i="21"/>
  <c r="AI2" i="21"/>
  <c r="AI7" i="21"/>
  <c r="AI5" i="21"/>
  <c r="AI3" i="21"/>
  <c r="AJ13" i="21" l="1"/>
  <c r="AJ5" i="21"/>
  <c r="AJ11" i="21"/>
  <c r="BN21" i="21"/>
  <c r="BM21" i="21"/>
  <c r="AJ2" i="21"/>
  <c r="F2" i="21" s="1"/>
  <c r="AJ6" i="21"/>
  <c r="AJ16" i="21"/>
  <c r="CL22" i="21"/>
  <c r="CM22" i="21"/>
  <c r="BX21" i="21"/>
  <c r="BW23" i="21"/>
  <c r="CR23" i="21" s="1"/>
  <c r="CC22" i="21"/>
  <c r="CB22" i="21"/>
  <c r="CA22" i="21"/>
  <c r="BZ22" i="21"/>
  <c r="BK21" i="21"/>
  <c r="BJ21" i="21"/>
  <c r="BL21" i="21"/>
  <c r="AS7" i="23"/>
  <c r="BA20" i="21"/>
  <c r="BS21" i="21"/>
  <c r="BO21" i="21"/>
  <c r="BF21" i="21"/>
  <c r="BQ21" i="21"/>
  <c r="BG21" i="21"/>
  <c r="BU21" i="21"/>
  <c r="BE21" i="21"/>
  <c r="BP21" i="21"/>
  <c r="BT21" i="21"/>
  <c r="BD21" i="21"/>
  <c r="BI21" i="21"/>
  <c r="BH21" i="21"/>
  <c r="BR21" i="21"/>
  <c r="BC21" i="21"/>
  <c r="AZ22" i="21"/>
  <c r="AJ3" i="21"/>
  <c r="AJ23" i="21"/>
  <c r="AJ8" i="21"/>
  <c r="AJ7" i="21"/>
  <c r="AJ4" i="21"/>
  <c r="AJ12" i="21"/>
  <c r="AJ10" i="21"/>
  <c r="AJ42" i="21"/>
  <c r="AJ19" i="21"/>
  <c r="AJ28" i="21"/>
  <c r="AJ25" i="21"/>
  <c r="AJ38" i="21"/>
  <c r="AJ34" i="21"/>
  <c r="AJ43" i="21"/>
  <c r="AJ48" i="21"/>
  <c r="AJ51" i="21"/>
  <c r="AJ55" i="21"/>
  <c r="AJ57" i="21"/>
  <c r="AJ14" i="21"/>
  <c r="AJ9" i="21"/>
  <c r="AJ35" i="21"/>
  <c r="AJ32" i="21"/>
  <c r="AJ29" i="21"/>
  <c r="AJ22" i="21"/>
  <c r="AJ40" i="21"/>
  <c r="AJ44" i="21"/>
  <c r="AJ52" i="21"/>
  <c r="AJ59" i="21"/>
  <c r="AJ56" i="21"/>
  <c r="AJ61" i="21"/>
  <c r="AJ27" i="21"/>
  <c r="AJ17" i="21"/>
  <c r="AJ15" i="21"/>
  <c r="AJ20" i="21"/>
  <c r="AJ36" i="21"/>
  <c r="AJ33" i="21"/>
  <c r="AJ26" i="21"/>
  <c r="AJ45" i="21"/>
  <c r="AJ49" i="21"/>
  <c r="AJ46" i="21"/>
  <c r="AJ47" i="21"/>
  <c r="AJ60" i="21"/>
  <c r="AJ58" i="21"/>
  <c r="AJ31" i="21"/>
  <c r="AJ18" i="21"/>
  <c r="AJ24" i="21"/>
  <c r="AJ21" i="21"/>
  <c r="AJ37" i="21"/>
  <c r="AJ30" i="21"/>
  <c r="AJ39" i="21"/>
  <c r="AJ41" i="21"/>
  <c r="AJ50" i="21"/>
  <c r="AJ54" i="21"/>
  <c r="AJ53" i="21"/>
  <c r="AJ62" i="21"/>
  <c r="D151" i="5"/>
  <c r="D152" i="5" s="1"/>
  <c r="D153" i="5" s="1"/>
  <c r="D154" i="5" s="1"/>
  <c r="D155" i="5" s="1"/>
  <c r="D156" i="5" s="1"/>
  <c r="D157" i="5" s="1"/>
  <c r="D158" i="5" s="1"/>
  <c r="D159" i="5" s="1"/>
  <c r="D160" i="5" s="1"/>
  <c r="D161" i="5" s="1"/>
  <c r="D162" i="5" s="1"/>
  <c r="D163" i="5" s="1"/>
  <c r="D164" i="5" s="1"/>
  <c r="D165" i="5" s="1"/>
  <c r="D166" i="5" s="1"/>
  <c r="D167" i="5" s="1"/>
  <c r="D168" i="5" s="1"/>
  <c r="D169" i="5" s="1"/>
  <c r="D170" i="5" s="1"/>
  <c r="D171" i="5" s="1"/>
  <c r="D172" i="5" s="1"/>
  <c r="D173" i="5" s="1"/>
  <c r="D174" i="5" s="1"/>
  <c r="D175" i="5" s="1"/>
  <c r="D176" i="5" s="1"/>
  <c r="D177" i="5" s="1"/>
  <c r="D178" i="5" s="1"/>
  <c r="D179" i="5" s="1"/>
  <c r="D180" i="5" s="1"/>
  <c r="D181" i="5" s="1"/>
  <c r="D182" i="5" s="1"/>
  <c r="D183" i="5" s="1"/>
  <c r="C162" i="5"/>
  <c r="BN22" i="21" l="1"/>
  <c r="BM22" i="21"/>
  <c r="CL23" i="21"/>
  <c r="CM23" i="21"/>
  <c r="BX22" i="21"/>
  <c r="BW24" i="21"/>
  <c r="CR24" i="21" s="1"/>
  <c r="CC23" i="21"/>
  <c r="CB23" i="21"/>
  <c r="CA23" i="21"/>
  <c r="BZ23" i="21"/>
  <c r="BJ22" i="21"/>
  <c r="BK22" i="21"/>
  <c r="BL22" i="21"/>
  <c r="AT7" i="23"/>
  <c r="BA21" i="21"/>
  <c r="BU22" i="21"/>
  <c r="BQ22" i="21"/>
  <c r="BH22" i="21"/>
  <c r="BD22" i="21"/>
  <c r="BS22" i="21"/>
  <c r="BI22" i="21"/>
  <c r="BC22" i="21"/>
  <c r="BR22" i="21"/>
  <c r="BG22" i="21"/>
  <c r="BP22" i="21"/>
  <c r="BT22" i="21"/>
  <c r="BO22" i="21"/>
  <c r="BF22" i="21"/>
  <c r="BE22" i="21"/>
  <c r="AZ23" i="21"/>
  <c r="BM23" i="21" s="1"/>
  <c r="E2" i="21"/>
  <c r="C7" i="9"/>
  <c r="D7" i="9"/>
  <c r="E7" i="9"/>
  <c r="F7" i="9"/>
  <c r="G7" i="9"/>
  <c r="H7" i="9"/>
  <c r="I7" i="9"/>
  <c r="J7" i="9"/>
  <c r="BN23" i="21" l="1"/>
  <c r="BO23" i="21"/>
  <c r="CL24" i="21"/>
  <c r="CM24" i="21"/>
  <c r="BX23" i="21"/>
  <c r="BW25" i="21"/>
  <c r="CR25" i="21" s="1"/>
  <c r="CC24" i="21"/>
  <c r="BZ24" i="21"/>
  <c r="CB24" i="21"/>
  <c r="CA24" i="21"/>
  <c r="BL23" i="21"/>
  <c r="BK23" i="21"/>
  <c r="BJ23" i="21"/>
  <c r="AU7" i="23"/>
  <c r="BA22" i="21"/>
  <c r="BS23" i="21"/>
  <c r="BF23" i="21"/>
  <c r="BU23" i="21"/>
  <c r="BP23" i="21"/>
  <c r="BE23" i="21"/>
  <c r="BI23" i="21"/>
  <c r="BT23" i="21"/>
  <c r="BD23" i="21"/>
  <c r="BH23" i="21"/>
  <c r="BC23" i="21"/>
  <c r="BG23" i="21"/>
  <c r="BR23" i="21"/>
  <c r="BQ23" i="21"/>
  <c r="AZ24" i="21"/>
  <c r="G2" i="21"/>
  <c r="H2" i="21" s="1"/>
  <c r="C84" i="5"/>
  <c r="C47" i="5"/>
  <c r="B7" i="6"/>
  <c r="B8" i="6" s="1"/>
  <c r="B9" i="6" s="1"/>
  <c r="B10" i="6" s="1"/>
  <c r="B11" i="6" s="1"/>
  <c r="B12" i="6" s="1"/>
  <c r="B13" i="6" s="1"/>
  <c r="B14" i="6" s="1"/>
  <c r="B15" i="6" s="1"/>
  <c r="B16" i="6" s="1"/>
  <c r="B17" i="6" s="1"/>
  <c r="B18" i="6" s="1"/>
  <c r="B19" i="6" s="1"/>
  <c r="B20" i="6" s="1"/>
  <c r="B21" i="6" s="1"/>
  <c r="B22" i="6" s="1"/>
  <c r="B23" i="6" s="1"/>
  <c r="B24" i="6" s="1"/>
  <c r="B25" i="6" s="1"/>
  <c r="B26" i="6" s="1"/>
  <c r="X3" i="6"/>
  <c r="X4" i="6" s="1"/>
  <c r="E4" i="19"/>
  <c r="O3" i="9"/>
  <c r="N3" i="9"/>
  <c r="R4" i="9"/>
  <c r="Q4" i="9"/>
  <c r="P4" i="9"/>
  <c r="O4" i="9"/>
  <c r="N4" i="9"/>
  <c r="M4" i="9"/>
  <c r="R3" i="9"/>
  <c r="Q3" i="9"/>
  <c r="P3" i="9"/>
  <c r="M3" i="9"/>
  <c r="BN24" i="21" l="1"/>
  <c r="BM24" i="21"/>
  <c r="CL25" i="21"/>
  <c r="CM25" i="21"/>
  <c r="BX24" i="21"/>
  <c r="BW26" i="21"/>
  <c r="CR26" i="21" s="1"/>
  <c r="CC25" i="21"/>
  <c r="BZ25" i="21"/>
  <c r="CB25" i="21"/>
  <c r="CA25" i="21"/>
  <c r="BL24" i="21"/>
  <c r="BJ24" i="21"/>
  <c r="BK24" i="21"/>
  <c r="AV7" i="23"/>
  <c r="BA23" i="21"/>
  <c r="BU24" i="21"/>
  <c r="BQ24" i="21"/>
  <c r="BH24" i="21"/>
  <c r="BD24" i="21"/>
  <c r="BR24" i="21"/>
  <c r="BG24" i="21"/>
  <c r="BF24" i="21"/>
  <c r="BP24" i="21"/>
  <c r="BT24" i="21"/>
  <c r="BE24" i="21"/>
  <c r="BO24" i="21"/>
  <c r="BI24" i="21"/>
  <c r="BS24" i="21"/>
  <c r="BC24" i="21"/>
  <c r="AZ25" i="21"/>
  <c r="I2" i="21"/>
  <c r="J2" i="21"/>
  <c r="L2" i="21" s="1"/>
  <c r="M2" i="21" s="1"/>
  <c r="BN25" i="21" l="1"/>
  <c r="BM25" i="21"/>
  <c r="CL26" i="21"/>
  <c r="CM26" i="21"/>
  <c r="BX25" i="21"/>
  <c r="BW27" i="21"/>
  <c r="CR27" i="21" s="1"/>
  <c r="CC26" i="21"/>
  <c r="BZ26" i="21"/>
  <c r="CB26" i="21"/>
  <c r="CA26" i="21"/>
  <c r="BK25" i="21"/>
  <c r="BJ25" i="21"/>
  <c r="BL25" i="21"/>
  <c r="AW7" i="23"/>
  <c r="BA24" i="21"/>
  <c r="BS25" i="21"/>
  <c r="BO25" i="21"/>
  <c r="BF25" i="21"/>
  <c r="BT25" i="21"/>
  <c r="BI25" i="21"/>
  <c r="BD25" i="21"/>
  <c r="BR25" i="21"/>
  <c r="BH25" i="21"/>
  <c r="BC25" i="21"/>
  <c r="BQ25" i="21"/>
  <c r="BU25" i="21"/>
  <c r="BP25" i="21"/>
  <c r="BG25" i="21"/>
  <c r="BE25" i="21"/>
  <c r="AZ26" i="21"/>
  <c r="E3" i="19"/>
  <c r="BN26" i="21" l="1"/>
  <c r="BM26" i="21"/>
  <c r="BX26" i="21"/>
  <c r="CL27" i="21"/>
  <c r="CM27" i="21"/>
  <c r="BW28" i="21"/>
  <c r="CR28" i="21" s="1"/>
  <c r="CC27" i="21"/>
  <c r="CB27" i="21"/>
  <c r="CA27" i="21"/>
  <c r="BZ27" i="21"/>
  <c r="BJ26" i="21"/>
  <c r="BL26" i="21"/>
  <c r="BK26" i="21"/>
  <c r="AX7" i="23"/>
  <c r="BA25" i="21"/>
  <c r="BU26" i="21"/>
  <c r="BQ26" i="21"/>
  <c r="BH26" i="21"/>
  <c r="BD26" i="21"/>
  <c r="BP26" i="21"/>
  <c r="BF26" i="21"/>
  <c r="BE26" i="21"/>
  <c r="BT26" i="21"/>
  <c r="BO26" i="21"/>
  <c r="BI26" i="21"/>
  <c r="BC26" i="21"/>
  <c r="BG26" i="21"/>
  <c r="BS26" i="21"/>
  <c r="BR26" i="21"/>
  <c r="AZ27" i="21"/>
  <c r="A10" i="23" l="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BN27" i="21"/>
  <c r="BM27" i="21"/>
  <c r="CL28" i="21"/>
  <c r="CM28" i="21"/>
  <c r="BX27" i="21"/>
  <c r="BW29" i="21"/>
  <c r="CR29" i="21" s="1"/>
  <c r="CC28" i="21"/>
  <c r="CB28" i="21"/>
  <c r="CA28" i="21"/>
  <c r="BZ28" i="21"/>
  <c r="BL27" i="21"/>
  <c r="BJ27" i="21"/>
  <c r="BK27" i="21"/>
  <c r="AY7" i="23"/>
  <c r="BA26" i="21"/>
  <c r="BS27" i="21"/>
  <c r="BO27" i="21"/>
  <c r="BF27" i="21"/>
  <c r="BR27" i="21"/>
  <c r="BH27" i="21"/>
  <c r="BC27" i="21"/>
  <c r="BQ27" i="21"/>
  <c r="BG27" i="21"/>
  <c r="BU27" i="21"/>
  <c r="BE27" i="21"/>
  <c r="BP27" i="21"/>
  <c r="BI27" i="21"/>
  <c r="BT27" i="21"/>
  <c r="BD27" i="21"/>
  <c r="AZ28" i="21"/>
  <c r="B11" i="21"/>
  <c r="A52" i="23" l="1"/>
  <c r="BN28" i="21"/>
  <c r="BM28" i="21"/>
  <c r="CL29" i="21"/>
  <c r="CM29" i="21"/>
  <c r="BX28" i="21"/>
  <c r="BW30" i="21"/>
  <c r="CR30" i="21" s="1"/>
  <c r="CC29" i="21"/>
  <c r="BZ29" i="21"/>
  <c r="CB29" i="21"/>
  <c r="CA29" i="21"/>
  <c r="BL28" i="21"/>
  <c r="BK28" i="21"/>
  <c r="BJ28" i="21"/>
  <c r="AZ7" i="23"/>
  <c r="BA27" i="21"/>
  <c r="BU28" i="21"/>
  <c r="BQ28" i="21"/>
  <c r="BH28" i="21"/>
  <c r="BD28" i="21"/>
  <c r="BT28" i="21"/>
  <c r="BO28" i="21"/>
  <c r="BE28" i="21"/>
  <c r="BS28" i="21"/>
  <c r="BI28" i="21"/>
  <c r="BC28" i="21"/>
  <c r="BR28" i="21"/>
  <c r="BP28" i="21"/>
  <c r="BG28" i="21"/>
  <c r="BF28" i="21"/>
  <c r="AZ29" i="21"/>
  <c r="A53" i="23" l="1"/>
  <c r="A54" i="23" s="1"/>
  <c r="A55" i="23" s="1"/>
  <c r="A56" i="23" s="1"/>
  <c r="A57" i="23" s="1"/>
  <c r="A58" i="23" s="1"/>
  <c r="A59" i="23" s="1"/>
  <c r="A60" i="23" s="1"/>
  <c r="A61" i="23" s="1"/>
  <c r="A62" i="23" s="1"/>
  <c r="BN29" i="21"/>
  <c r="BM29" i="21"/>
  <c r="CL30" i="21"/>
  <c r="CM30" i="21"/>
  <c r="BX29" i="21"/>
  <c r="BW31" i="21"/>
  <c r="CR31" i="21" s="1"/>
  <c r="CC30" i="21"/>
  <c r="BZ30" i="21"/>
  <c r="CB30" i="21"/>
  <c r="CA30" i="21"/>
  <c r="BK29" i="21"/>
  <c r="BJ29" i="21"/>
  <c r="BL29" i="21"/>
  <c r="BA7" i="23"/>
  <c r="BA28" i="21"/>
  <c r="BS29" i="21"/>
  <c r="BO29" i="21"/>
  <c r="BF29" i="21"/>
  <c r="BQ29" i="21"/>
  <c r="BG29" i="21"/>
  <c r="BU29" i="21"/>
  <c r="BP29" i="21"/>
  <c r="BE29" i="21"/>
  <c r="BI29" i="21"/>
  <c r="BD29" i="21"/>
  <c r="BC29" i="21"/>
  <c r="BH29" i="21"/>
  <c r="BT29" i="21"/>
  <c r="BR29" i="21"/>
  <c r="AZ30" i="21"/>
  <c r="A63" i="23" l="1"/>
  <c r="A64" i="23" s="1"/>
  <c r="BN30" i="21"/>
  <c r="BM30" i="21"/>
  <c r="CL31" i="21"/>
  <c r="CM31" i="21"/>
  <c r="BX30" i="21"/>
  <c r="BW32" i="21"/>
  <c r="CR32" i="21" s="1"/>
  <c r="CC31" i="21"/>
  <c r="CB31" i="21"/>
  <c r="CA31" i="21"/>
  <c r="BZ31" i="21"/>
  <c r="BJ30" i="21"/>
  <c r="BK30" i="21"/>
  <c r="BL30" i="21"/>
  <c r="BB7" i="23"/>
  <c r="BA29" i="21"/>
  <c r="BU30" i="21"/>
  <c r="BQ30" i="21"/>
  <c r="BH30" i="21"/>
  <c r="BD30" i="21"/>
  <c r="BS30" i="21"/>
  <c r="BI30" i="21"/>
  <c r="BC30" i="21"/>
  <c r="BR30" i="21"/>
  <c r="BG30" i="21"/>
  <c r="BF30" i="21"/>
  <c r="BP30" i="21"/>
  <c r="BO30" i="21"/>
  <c r="BT30" i="21"/>
  <c r="BE30" i="21"/>
  <c r="AZ31" i="21"/>
  <c r="A65" i="23" l="1"/>
  <c r="A66" i="23" s="1"/>
  <c r="BN31" i="21"/>
  <c r="BM31" i="21"/>
  <c r="CL32" i="21"/>
  <c r="CM32" i="21"/>
  <c r="BX31" i="21"/>
  <c r="BW33" i="21"/>
  <c r="CR33" i="21" s="1"/>
  <c r="CC32" i="21"/>
  <c r="BZ32" i="21"/>
  <c r="CB32" i="21"/>
  <c r="CA32" i="21"/>
  <c r="BL31" i="21"/>
  <c r="BK31" i="21"/>
  <c r="BJ31" i="21"/>
  <c r="BC7" i="23"/>
  <c r="BA30" i="21"/>
  <c r="BS31" i="21"/>
  <c r="BO31" i="21"/>
  <c r="BF31" i="21"/>
  <c r="BR31" i="21"/>
  <c r="BH31" i="21"/>
  <c r="BC31" i="21"/>
  <c r="BT31" i="21"/>
  <c r="BG31" i="21"/>
  <c r="BQ31" i="21"/>
  <c r="BE31" i="21"/>
  <c r="BD31" i="21"/>
  <c r="BU31" i="21"/>
  <c r="BP31" i="21"/>
  <c r="BI31" i="21"/>
  <c r="AZ32" i="21"/>
  <c r="A67" i="23" l="1"/>
  <c r="BN32" i="21"/>
  <c r="BM32" i="21"/>
  <c r="CL33" i="21"/>
  <c r="CM33" i="21"/>
  <c r="BX32" i="21"/>
  <c r="BW34" i="21"/>
  <c r="CR34" i="21" s="1"/>
  <c r="CC33" i="21"/>
  <c r="CB33" i="21"/>
  <c r="CA33" i="21"/>
  <c r="BZ33" i="21"/>
  <c r="BL32" i="21"/>
  <c r="BJ32" i="21"/>
  <c r="BK32" i="21"/>
  <c r="BA31" i="21"/>
  <c r="BD7" i="23"/>
  <c r="BU32" i="21"/>
  <c r="BQ32" i="21"/>
  <c r="BH32" i="21"/>
  <c r="BD32" i="21"/>
  <c r="BT32" i="21"/>
  <c r="BO32" i="21"/>
  <c r="BE32" i="21"/>
  <c r="BS32" i="21"/>
  <c r="BG32" i="21"/>
  <c r="BR32" i="21"/>
  <c r="BF32" i="21"/>
  <c r="BC32" i="21"/>
  <c r="BP32" i="21"/>
  <c r="BI32" i="21"/>
  <c r="AZ33" i="21"/>
  <c r="A68" i="23" l="1"/>
  <c r="BN33" i="21"/>
  <c r="BM33" i="21"/>
  <c r="CL34" i="21"/>
  <c r="CM34" i="21"/>
  <c r="BX33" i="21"/>
  <c r="BW35" i="21"/>
  <c r="CR35" i="21" s="1"/>
  <c r="CC34" i="21"/>
  <c r="BZ34" i="21"/>
  <c r="CB34" i="21"/>
  <c r="CA34" i="21"/>
  <c r="BK33" i="21"/>
  <c r="BJ33" i="21"/>
  <c r="BL33" i="21"/>
  <c r="BE7" i="23"/>
  <c r="BA32" i="21"/>
  <c r="BS33" i="21"/>
  <c r="BO33" i="21"/>
  <c r="BF33" i="21"/>
  <c r="BQ33" i="21"/>
  <c r="BG33" i="21"/>
  <c r="BT33" i="21"/>
  <c r="BH33" i="21"/>
  <c r="BR33" i="21"/>
  <c r="BE33" i="21"/>
  <c r="BD33" i="21"/>
  <c r="BP33" i="21"/>
  <c r="BI33" i="21"/>
  <c r="BU33" i="21"/>
  <c r="BC33" i="21"/>
  <c r="AZ34" i="21"/>
  <c r="A69" i="23" l="1"/>
  <c r="BN34" i="21"/>
  <c r="BM34" i="21"/>
  <c r="BX34" i="21"/>
  <c r="CL35" i="21"/>
  <c r="CM35" i="21"/>
  <c r="BW36" i="21"/>
  <c r="CR36" i="21" s="1"/>
  <c r="CC35" i="21"/>
  <c r="CB35" i="21"/>
  <c r="CA35" i="21"/>
  <c r="BZ35" i="21"/>
  <c r="BJ34" i="21"/>
  <c r="BL34" i="21"/>
  <c r="BK34" i="21"/>
  <c r="BF7" i="23"/>
  <c r="BA33" i="21"/>
  <c r="BS34" i="21"/>
  <c r="BO34" i="21"/>
  <c r="BR34" i="21"/>
  <c r="BI34" i="21"/>
  <c r="BU34" i="21"/>
  <c r="BQ34" i="21"/>
  <c r="BH34" i="21"/>
  <c r="BD34" i="21"/>
  <c r="BP34" i="21"/>
  <c r="BC34" i="21"/>
  <c r="BG34" i="21"/>
  <c r="BF34" i="21"/>
  <c r="BE34" i="21"/>
  <c r="BT34" i="21"/>
  <c r="AZ35" i="21"/>
  <c r="C35" i="5"/>
  <c r="D38" i="5"/>
  <c r="D74" i="5"/>
  <c r="D111" i="5"/>
  <c r="C112" i="5" s="1"/>
  <c r="AE11" i="5"/>
  <c r="AE26" i="5"/>
  <c r="AE25" i="5"/>
  <c r="AE23" i="5"/>
  <c r="AE19" i="5"/>
  <c r="AE17" i="5"/>
  <c r="AE15" i="5"/>
  <c r="AE13" i="5"/>
  <c r="AE10" i="5"/>
  <c r="AE31" i="5" s="1"/>
  <c r="AE7" i="5"/>
  <c r="AG5" i="5"/>
  <c r="C3" i="6"/>
  <c r="AG22" i="5"/>
  <c r="AG25" i="5"/>
  <c r="AG23" i="5"/>
  <c r="AG24" i="5"/>
  <c r="G5" i="5"/>
  <c r="C45" i="5"/>
  <c r="AG21" i="5"/>
  <c r="A70" i="23" l="1"/>
  <c r="A71" i="23" s="1"/>
  <c r="A72" i="23" s="1"/>
  <c r="BN35" i="21"/>
  <c r="BM35" i="21"/>
  <c r="E35" i="5"/>
  <c r="F35" i="5" s="1"/>
  <c r="CL36" i="21"/>
  <c r="CM36" i="21"/>
  <c r="BX35" i="21"/>
  <c r="BW37" i="21"/>
  <c r="CR37" i="21" s="1"/>
  <c r="CC36" i="21"/>
  <c r="BZ36" i="21"/>
  <c r="CB36" i="21"/>
  <c r="CA36" i="21"/>
  <c r="BL35" i="21"/>
  <c r="BJ35" i="21"/>
  <c r="BK35" i="21"/>
  <c r="BG7" i="23"/>
  <c r="BA34" i="21"/>
  <c r="BU35" i="21"/>
  <c r="BQ35" i="21"/>
  <c r="BH35" i="21"/>
  <c r="BD35" i="21"/>
  <c r="BT35" i="21"/>
  <c r="BP35" i="21"/>
  <c r="BG35" i="21"/>
  <c r="BC35" i="21"/>
  <c r="BS35" i="21"/>
  <c r="BO35" i="21"/>
  <c r="BF35" i="21"/>
  <c r="BR35" i="21"/>
  <c r="BI35" i="21"/>
  <c r="BE35" i="21"/>
  <c r="AZ36" i="21"/>
  <c r="C72" i="5"/>
  <c r="D75" i="5"/>
  <c r="D39" i="5"/>
  <c r="D112" i="5"/>
  <c r="D113" i="5" s="1"/>
  <c r="D114" i="5" s="1"/>
  <c r="D115" i="5" s="1"/>
  <c r="D116" i="5" s="1"/>
  <c r="D117" i="5" s="1"/>
  <c r="D118" i="5" s="1"/>
  <c r="D119" i="5" s="1"/>
  <c r="D120" i="5" s="1"/>
  <c r="D121" i="5" s="1"/>
  <c r="D122" i="5" s="1"/>
  <c r="D123" i="5" s="1"/>
  <c r="D124" i="5" s="1"/>
  <c r="D125" i="5" s="1"/>
  <c r="D126" i="5" s="1"/>
  <c r="D127" i="5" s="1"/>
  <c r="D128" i="5" s="1"/>
  <c r="D129" i="5" s="1"/>
  <c r="D130" i="5" s="1"/>
  <c r="D131" i="5" s="1"/>
  <c r="D132" i="5" s="1"/>
  <c r="D133" i="5" s="1"/>
  <c r="D134" i="5" s="1"/>
  <c r="D135" i="5" s="1"/>
  <c r="D136" i="5" s="1"/>
  <c r="D137" i="5" s="1"/>
  <c r="D138" i="5" s="1"/>
  <c r="D139" i="5" s="1"/>
  <c r="D140" i="5" s="1"/>
  <c r="D141" i="5" s="1"/>
  <c r="D142" i="5" s="1"/>
  <c r="L5" i="5"/>
  <c r="AE29" i="5"/>
  <c r="AE27" i="5"/>
  <c r="AE30" i="5"/>
  <c r="M4" i="5"/>
  <c r="E38" i="5"/>
  <c r="E158" i="5"/>
  <c r="E161" i="5"/>
  <c r="C82" i="5"/>
  <c r="E37" i="5"/>
  <c r="E154" i="5"/>
  <c r="E153" i="5"/>
  <c r="E164" i="5"/>
  <c r="Q5" i="5"/>
  <c r="E155" i="5"/>
  <c r="E167" i="5"/>
  <c r="E152" i="5"/>
  <c r="E156" i="5"/>
  <c r="E165" i="5"/>
  <c r="E159" i="5"/>
  <c r="E166" i="5"/>
  <c r="E163" i="5"/>
  <c r="E160" i="5"/>
  <c r="E162" i="5"/>
  <c r="E157" i="5"/>
  <c r="A73" i="23" l="1"/>
  <c r="A74" i="23" s="1"/>
  <c r="A75" i="23" s="1"/>
  <c r="A76" i="23" s="1"/>
  <c r="E36" i="5"/>
  <c r="E73" i="5" s="1"/>
  <c r="E110" i="5" s="1"/>
  <c r="BN36" i="21"/>
  <c r="BM36" i="21"/>
  <c r="BX36" i="21"/>
  <c r="CL37" i="21"/>
  <c r="CM37" i="21"/>
  <c r="BW38" i="21"/>
  <c r="CR38" i="21" s="1"/>
  <c r="CC37" i="21"/>
  <c r="CB37" i="21"/>
  <c r="CA37" i="21"/>
  <c r="BZ37" i="21"/>
  <c r="BL36" i="21"/>
  <c r="BK36" i="21"/>
  <c r="BJ36" i="21"/>
  <c r="BA35" i="21"/>
  <c r="BS36" i="21"/>
  <c r="BO36" i="21"/>
  <c r="BF36" i="21"/>
  <c r="BR36" i="21"/>
  <c r="BI36" i="21"/>
  <c r="BE36" i="21"/>
  <c r="BU36" i="21"/>
  <c r="BQ36" i="21"/>
  <c r="BH36" i="21"/>
  <c r="BD36" i="21"/>
  <c r="BT36" i="21"/>
  <c r="BC36" i="21"/>
  <c r="BP36" i="21"/>
  <c r="BG36" i="21"/>
  <c r="AZ37" i="21"/>
  <c r="C150" i="5"/>
  <c r="D76" i="5"/>
  <c r="D40" i="5"/>
  <c r="AE28" i="5"/>
  <c r="AG27" i="5" s="1"/>
  <c r="N3" i="5"/>
  <c r="U11" i="5"/>
  <c r="K7" i="5"/>
  <c r="P26" i="5"/>
  <c r="P25" i="5"/>
  <c r="P23" i="5"/>
  <c r="P19" i="5"/>
  <c r="P17" i="5"/>
  <c r="P15" i="5"/>
  <c r="P13" i="5"/>
  <c r="P11" i="5"/>
  <c r="P10" i="5"/>
  <c r="P31" i="5" s="1"/>
  <c r="K26" i="5"/>
  <c r="K25" i="5"/>
  <c r="K23" i="5"/>
  <c r="K19" i="5"/>
  <c r="K17" i="5"/>
  <c r="K15" i="5"/>
  <c r="K13" i="5"/>
  <c r="K11" i="5"/>
  <c r="K10" i="5"/>
  <c r="F26" i="5"/>
  <c r="F25" i="5"/>
  <c r="F23" i="5"/>
  <c r="F19" i="5"/>
  <c r="F17" i="5"/>
  <c r="F15" i="5"/>
  <c r="F13" i="5"/>
  <c r="F11" i="5"/>
  <c r="F10" i="5"/>
  <c r="F31" i="5" s="1"/>
  <c r="F7" i="5"/>
  <c r="E39" i="5"/>
  <c r="E168" i="5"/>
  <c r="C160" i="5"/>
  <c r="V5" i="5"/>
  <c r="A77" i="23" l="1"/>
  <c r="A78" i="23" s="1"/>
  <c r="A79" i="23" s="1"/>
  <c r="BN37" i="21"/>
  <c r="BM37" i="21"/>
  <c r="AG11" i="5"/>
  <c r="AG12" i="5"/>
  <c r="CL38" i="21"/>
  <c r="CM38" i="21"/>
  <c r="BX37" i="21"/>
  <c r="BW39" i="21"/>
  <c r="CR39" i="21" s="1"/>
  <c r="CC38" i="21"/>
  <c r="BZ38" i="21"/>
  <c r="CB38" i="21"/>
  <c r="CA38" i="21"/>
  <c r="BK37" i="21"/>
  <c r="BJ37" i="21"/>
  <c r="BL37" i="21"/>
  <c r="BA36" i="21"/>
  <c r="BU37" i="21"/>
  <c r="BQ37" i="21"/>
  <c r="BH37" i="21"/>
  <c r="BD37" i="21"/>
  <c r="BT37" i="21"/>
  <c r="BP37" i="21"/>
  <c r="BG37" i="21"/>
  <c r="BC37" i="21"/>
  <c r="BS37" i="21"/>
  <c r="BO37" i="21"/>
  <c r="BF37" i="21"/>
  <c r="BI37" i="21"/>
  <c r="BE37" i="21"/>
  <c r="BR37" i="21"/>
  <c r="AZ38" i="21"/>
  <c r="D77" i="5"/>
  <c r="D41" i="5"/>
  <c r="AG13" i="5"/>
  <c r="AG14" i="5" s="1"/>
  <c r="AG6" i="5"/>
  <c r="AG19" i="5"/>
  <c r="AG20" i="5" s="1"/>
  <c r="AG15" i="5"/>
  <c r="AG16" i="5" s="1"/>
  <c r="AG17" i="5"/>
  <c r="AG18" i="5" s="1"/>
  <c r="F29" i="5"/>
  <c r="F30" i="5"/>
  <c r="K31" i="5"/>
  <c r="K29" i="5"/>
  <c r="P7" i="5"/>
  <c r="H5" i="5"/>
  <c r="P29" i="5"/>
  <c r="P30" i="5"/>
  <c r="P27" i="5"/>
  <c r="P28" i="5" s="1"/>
  <c r="K30" i="5"/>
  <c r="K27" i="5"/>
  <c r="K28" i="5" s="1"/>
  <c r="F27" i="5"/>
  <c r="F28" i="5" s="1"/>
  <c r="U7" i="5"/>
  <c r="E40" i="5"/>
  <c r="E169" i="5"/>
  <c r="A80" i="23" l="1"/>
  <c r="A81" i="23" s="1"/>
  <c r="BN38" i="21"/>
  <c r="BM38" i="21"/>
  <c r="CL39" i="21"/>
  <c r="CM39" i="21"/>
  <c r="BX38" i="21"/>
  <c r="BW40" i="21"/>
  <c r="CR40" i="21" s="1"/>
  <c r="CC39" i="21"/>
  <c r="CB39" i="21"/>
  <c r="CA39" i="21"/>
  <c r="BZ39" i="21"/>
  <c r="BJ38" i="21"/>
  <c r="BK38" i="21"/>
  <c r="BL38" i="21"/>
  <c r="BA37" i="21"/>
  <c r="BS38" i="21"/>
  <c r="BO38" i="21"/>
  <c r="BF38" i="21"/>
  <c r="BR38" i="21"/>
  <c r="BI38" i="21"/>
  <c r="BE38" i="21"/>
  <c r="BU38" i="21"/>
  <c r="BQ38" i="21"/>
  <c r="BH38" i="21"/>
  <c r="BD38" i="21"/>
  <c r="BC38" i="21"/>
  <c r="BT38" i="21"/>
  <c r="BP38" i="21"/>
  <c r="BG38" i="21"/>
  <c r="AZ39" i="21"/>
  <c r="D78" i="5"/>
  <c r="D42" i="5"/>
  <c r="AG7" i="5"/>
  <c r="AB25" i="5"/>
  <c r="E170" i="5"/>
  <c r="E41" i="5"/>
  <c r="A82" i="23" l="1"/>
  <c r="A83" i="23" s="1"/>
  <c r="BN39" i="21"/>
  <c r="BM39" i="21"/>
  <c r="CL40" i="21"/>
  <c r="CM40" i="21"/>
  <c r="BX39" i="21"/>
  <c r="BW41" i="21"/>
  <c r="CR41" i="21" s="1"/>
  <c r="CC40" i="21"/>
  <c r="BZ40" i="21"/>
  <c r="CB40" i="21"/>
  <c r="CA40" i="21"/>
  <c r="BL39" i="21"/>
  <c r="BK39" i="21"/>
  <c r="BJ39" i="21"/>
  <c r="BA38" i="21"/>
  <c r="BU39" i="21"/>
  <c r="BQ39" i="21"/>
  <c r="BH39" i="21"/>
  <c r="BD39" i="21"/>
  <c r="BT39" i="21"/>
  <c r="BP39" i="21"/>
  <c r="BG39" i="21"/>
  <c r="BC39" i="21"/>
  <c r="BS39" i="21"/>
  <c r="BO39" i="21"/>
  <c r="BF39" i="21"/>
  <c r="BE39" i="21"/>
  <c r="BR39" i="21"/>
  <c r="BI39" i="21"/>
  <c r="AZ40" i="21"/>
  <c r="D79" i="5"/>
  <c r="D43" i="5"/>
  <c r="E171" i="5"/>
  <c r="E42" i="5"/>
  <c r="A84" i="23" l="1"/>
  <c r="A85" i="23" s="1"/>
  <c r="A86" i="23" s="1"/>
  <c r="A87" i="23" s="1"/>
  <c r="BN40" i="21"/>
  <c r="BM40" i="21"/>
  <c r="CL41" i="21"/>
  <c r="CM41" i="21"/>
  <c r="BX40" i="21"/>
  <c r="BW42" i="21"/>
  <c r="CR42" i="21" s="1"/>
  <c r="CC41" i="21"/>
  <c r="CB41" i="21"/>
  <c r="CA41" i="21"/>
  <c r="BZ41" i="21"/>
  <c r="BL40" i="21"/>
  <c r="BJ40" i="21"/>
  <c r="BK40" i="21"/>
  <c r="BA39" i="21"/>
  <c r="BS40" i="21"/>
  <c r="BO40" i="21"/>
  <c r="BF40" i="21"/>
  <c r="BR40" i="21"/>
  <c r="BI40" i="21"/>
  <c r="BE40" i="21"/>
  <c r="BU40" i="21"/>
  <c r="BQ40" i="21"/>
  <c r="BH40" i="21"/>
  <c r="BD40" i="21"/>
  <c r="BG40" i="21"/>
  <c r="BP40" i="21"/>
  <c r="BC40" i="21"/>
  <c r="BT40" i="21"/>
  <c r="AZ41" i="21"/>
  <c r="D80" i="5"/>
  <c r="D44" i="5"/>
  <c r="J4" i="9"/>
  <c r="J3" i="9"/>
  <c r="C8" i="9"/>
  <c r="J8" i="9"/>
  <c r="I8" i="9"/>
  <c r="H8" i="9"/>
  <c r="G8" i="9"/>
  <c r="F8" i="9"/>
  <c r="E8" i="9"/>
  <c r="D8" i="9"/>
  <c r="D4" i="9"/>
  <c r="I4" i="9"/>
  <c r="H4" i="9"/>
  <c r="G4" i="9"/>
  <c r="F4" i="9"/>
  <c r="E4" i="9"/>
  <c r="I3" i="9"/>
  <c r="H3" i="9"/>
  <c r="G3" i="9"/>
  <c r="F3" i="9"/>
  <c r="E3" i="9"/>
  <c r="D3" i="9"/>
  <c r="E172" i="5"/>
  <c r="E43" i="5"/>
  <c r="A88" i="23" l="1"/>
  <c r="BN41" i="21"/>
  <c r="BM41" i="21"/>
  <c r="CL42" i="21"/>
  <c r="CM42" i="21"/>
  <c r="BX41" i="21"/>
  <c r="BW43" i="21"/>
  <c r="CR43" i="21" s="1"/>
  <c r="CC42" i="21"/>
  <c r="BZ42" i="21"/>
  <c r="CB42" i="21"/>
  <c r="CA42" i="21"/>
  <c r="BK41" i="21"/>
  <c r="BJ41" i="21"/>
  <c r="BL41" i="21"/>
  <c r="BA40" i="21"/>
  <c r="BU41" i="21"/>
  <c r="BQ41" i="21"/>
  <c r="BH41" i="21"/>
  <c r="BD41" i="21"/>
  <c r="BT41" i="21"/>
  <c r="BP41" i="21"/>
  <c r="BG41" i="21"/>
  <c r="BC41" i="21"/>
  <c r="BS41" i="21"/>
  <c r="BO41" i="21"/>
  <c r="BF41" i="21"/>
  <c r="BI41" i="21"/>
  <c r="BR41" i="21"/>
  <c r="BE41" i="21"/>
  <c r="AZ42" i="21"/>
  <c r="D81" i="5"/>
  <c r="D45" i="5"/>
  <c r="AB5" i="5"/>
  <c r="W5" i="5"/>
  <c r="C4" i="9"/>
  <c r="C3" i="9"/>
  <c r="E44" i="5"/>
  <c r="E173" i="5"/>
  <c r="A89" i="23" l="1"/>
  <c r="BN42" i="21"/>
  <c r="BM42" i="21"/>
  <c r="CL43" i="21"/>
  <c r="CM43" i="21"/>
  <c r="BX42" i="21"/>
  <c r="BW44" i="21"/>
  <c r="CR44" i="21" s="1"/>
  <c r="CC43" i="21"/>
  <c r="CB43" i="21"/>
  <c r="CA43" i="21"/>
  <c r="BZ43" i="21"/>
  <c r="BJ42" i="21"/>
  <c r="BK42" i="21"/>
  <c r="BL42" i="21"/>
  <c r="BA41" i="21"/>
  <c r="BS42" i="21"/>
  <c r="BO42" i="21"/>
  <c r="BF42" i="21"/>
  <c r="BR42" i="21"/>
  <c r="BI42" i="21"/>
  <c r="BE42" i="21"/>
  <c r="BU42" i="21"/>
  <c r="BQ42" i="21"/>
  <c r="BH42" i="21"/>
  <c r="BD42" i="21"/>
  <c r="BP42" i="21"/>
  <c r="BC42" i="21"/>
  <c r="BT42" i="21"/>
  <c r="BG42" i="21"/>
  <c r="AZ43" i="21"/>
  <c r="E72" i="5"/>
  <c r="D82" i="5"/>
  <c r="D46" i="5"/>
  <c r="M5" i="5"/>
  <c r="R5" i="5"/>
  <c r="F174" i="5"/>
  <c r="F40" i="5"/>
  <c r="E45" i="5"/>
  <c r="F170" i="5"/>
  <c r="E76" i="5"/>
  <c r="F161" i="5"/>
  <c r="E81" i="5"/>
  <c r="F156" i="5"/>
  <c r="F173" i="5"/>
  <c r="F155" i="5"/>
  <c r="F157" i="5"/>
  <c r="F164" i="5"/>
  <c r="E77" i="5"/>
  <c r="E74" i="5"/>
  <c r="E80" i="5"/>
  <c r="F160" i="5"/>
  <c r="F153" i="5"/>
  <c r="F171" i="5"/>
  <c r="E75" i="5"/>
  <c r="F43" i="5"/>
  <c r="F168" i="5"/>
  <c r="F44" i="5"/>
  <c r="F172" i="5"/>
  <c r="F163" i="5"/>
  <c r="F169" i="5"/>
  <c r="F162" i="5"/>
  <c r="F42" i="5"/>
  <c r="F39" i="5"/>
  <c r="F45" i="5"/>
  <c r="F152" i="5"/>
  <c r="F167" i="5"/>
  <c r="F166" i="5"/>
  <c r="E79" i="5"/>
  <c r="F158" i="5"/>
  <c r="F159" i="5"/>
  <c r="F154" i="5"/>
  <c r="F37" i="5"/>
  <c r="E174" i="5"/>
  <c r="F165" i="5"/>
  <c r="F38" i="5"/>
  <c r="F41" i="5"/>
  <c r="E78" i="5"/>
  <c r="A90" i="23" l="1"/>
  <c r="A91" i="23" s="1"/>
  <c r="BN43" i="21"/>
  <c r="BM43" i="21"/>
  <c r="CL44" i="21"/>
  <c r="CM44" i="21"/>
  <c r="BX43" i="21"/>
  <c r="BW45" i="21"/>
  <c r="CR45" i="21" s="1"/>
  <c r="CC44" i="21"/>
  <c r="BZ44" i="21"/>
  <c r="CB44" i="21"/>
  <c r="CA44" i="21"/>
  <c r="BL43" i="21"/>
  <c r="BK43" i="21"/>
  <c r="BJ43" i="21"/>
  <c r="BA42" i="21"/>
  <c r="BU43" i="21"/>
  <c r="BQ43" i="21"/>
  <c r="BH43" i="21"/>
  <c r="BD43" i="21"/>
  <c r="BT43" i="21"/>
  <c r="BP43" i="21"/>
  <c r="BG43" i="21"/>
  <c r="BC43" i="21"/>
  <c r="BS43" i="21"/>
  <c r="BO43" i="21"/>
  <c r="BF43" i="21"/>
  <c r="BR43" i="21"/>
  <c r="BI43" i="21"/>
  <c r="BE43" i="21"/>
  <c r="AZ44" i="21"/>
  <c r="F36" i="5"/>
  <c r="F73" i="5" s="1"/>
  <c r="F110" i="5" s="1"/>
  <c r="E111" i="5"/>
  <c r="E112" i="5"/>
  <c r="E113" i="5"/>
  <c r="E114" i="5"/>
  <c r="E115" i="5"/>
  <c r="E116" i="5"/>
  <c r="E117" i="5"/>
  <c r="E109" i="5"/>
  <c r="G35" i="5"/>
  <c r="F72" i="5"/>
  <c r="E118" i="5"/>
  <c r="D83" i="5"/>
  <c r="D47" i="5"/>
  <c r="M2" i="5"/>
  <c r="W4" i="5"/>
  <c r="R4" i="5"/>
  <c r="H4" i="5"/>
  <c r="AB22" i="5"/>
  <c r="G171" i="5"/>
  <c r="G45" i="5"/>
  <c r="E82" i="5"/>
  <c r="F76" i="5"/>
  <c r="G162" i="5"/>
  <c r="G43" i="5"/>
  <c r="F82" i="5"/>
  <c r="G154" i="5"/>
  <c r="F46" i="5"/>
  <c r="F81" i="5"/>
  <c r="G37" i="5"/>
  <c r="M21" i="5"/>
  <c r="E46" i="5"/>
  <c r="AB21" i="5"/>
  <c r="G153" i="5"/>
  <c r="G170" i="5"/>
  <c r="G159" i="5"/>
  <c r="G155" i="5"/>
  <c r="F75" i="5"/>
  <c r="M25" i="5"/>
  <c r="G165" i="5"/>
  <c r="G168" i="5"/>
  <c r="G46" i="5"/>
  <c r="G174" i="5"/>
  <c r="G156" i="5"/>
  <c r="G166" i="5"/>
  <c r="H25" i="5"/>
  <c r="AB24" i="5"/>
  <c r="G158" i="5"/>
  <c r="G164" i="5"/>
  <c r="G173" i="5"/>
  <c r="G160" i="5"/>
  <c r="H22" i="5"/>
  <c r="G42" i="5"/>
  <c r="G167" i="5"/>
  <c r="H23" i="5"/>
  <c r="G175" i="5"/>
  <c r="F78" i="5"/>
  <c r="G163" i="5"/>
  <c r="G44" i="5"/>
  <c r="F74" i="5"/>
  <c r="F77" i="5"/>
  <c r="G157" i="5"/>
  <c r="AB23" i="5"/>
  <c r="H21" i="5"/>
  <c r="G172" i="5"/>
  <c r="G41" i="5"/>
  <c r="G161" i="5"/>
  <c r="H24" i="5"/>
  <c r="G169" i="5"/>
  <c r="F79" i="5"/>
  <c r="G40" i="5"/>
  <c r="F80" i="5"/>
  <c r="G152" i="5"/>
  <c r="G38" i="5"/>
  <c r="E175" i="5"/>
  <c r="F175" i="5"/>
  <c r="G39" i="5"/>
  <c r="A92" i="23" l="1"/>
  <c r="A93" i="23" s="1"/>
  <c r="BN44" i="21"/>
  <c r="BM44" i="21"/>
  <c r="R2" i="5"/>
  <c r="W2" i="5" s="1"/>
  <c r="AB2" i="5" s="1"/>
  <c r="AG2" i="5" s="1"/>
  <c r="CL45" i="21"/>
  <c r="CM45" i="21"/>
  <c r="BX44" i="21"/>
  <c r="BW46" i="21"/>
  <c r="CR46" i="21" s="1"/>
  <c r="CC45" i="21"/>
  <c r="CB45" i="21"/>
  <c r="CA45" i="21"/>
  <c r="BZ45" i="21"/>
  <c r="BL44" i="21"/>
  <c r="BJ44" i="21"/>
  <c r="BK44" i="21"/>
  <c r="BA43" i="21"/>
  <c r="BS44" i="21"/>
  <c r="BO44" i="21"/>
  <c r="BF44" i="21"/>
  <c r="BR44" i="21"/>
  <c r="BI44" i="21"/>
  <c r="BE44" i="21"/>
  <c r="BU44" i="21"/>
  <c r="BQ44" i="21"/>
  <c r="BH44" i="21"/>
  <c r="BD44" i="21"/>
  <c r="BT44" i="21"/>
  <c r="BP44" i="21"/>
  <c r="BG44" i="21"/>
  <c r="BC44" i="21"/>
  <c r="AZ45" i="21"/>
  <c r="G36" i="5"/>
  <c r="G73" i="5" s="1"/>
  <c r="G110" i="5" s="1"/>
  <c r="F111" i="5"/>
  <c r="F112" i="5"/>
  <c r="F113" i="5"/>
  <c r="F114" i="5"/>
  <c r="F115" i="5"/>
  <c r="F116" i="5"/>
  <c r="F117" i="5"/>
  <c r="F118" i="5"/>
  <c r="H35" i="5"/>
  <c r="G72" i="5"/>
  <c r="F109" i="5"/>
  <c r="F119" i="5"/>
  <c r="E119" i="5"/>
  <c r="D84" i="5"/>
  <c r="D48" i="5"/>
  <c r="H41" i="5"/>
  <c r="H153" i="5"/>
  <c r="G79" i="5"/>
  <c r="G75" i="5"/>
  <c r="H155" i="5"/>
  <c r="F47" i="5"/>
  <c r="E47" i="5"/>
  <c r="H160" i="5"/>
  <c r="H163" i="5"/>
  <c r="H37" i="5"/>
  <c r="E176" i="5"/>
  <c r="H46" i="5"/>
  <c r="G80" i="5"/>
  <c r="H159" i="5"/>
  <c r="H171" i="5"/>
  <c r="H164" i="5"/>
  <c r="H169" i="5"/>
  <c r="M24" i="5"/>
  <c r="H38" i="5"/>
  <c r="G83" i="5"/>
  <c r="F176" i="5"/>
  <c r="G82" i="5"/>
  <c r="H44" i="5"/>
  <c r="H43" i="5"/>
  <c r="G176" i="5"/>
  <c r="H152" i="5"/>
  <c r="H165" i="5"/>
  <c r="F83" i="5"/>
  <c r="H176" i="5"/>
  <c r="H173" i="5"/>
  <c r="H161" i="5"/>
  <c r="H157" i="5"/>
  <c r="H42" i="5"/>
  <c r="M22" i="5"/>
  <c r="H162" i="5"/>
  <c r="H174" i="5"/>
  <c r="H156" i="5"/>
  <c r="G76" i="5"/>
  <c r="H47" i="5"/>
  <c r="H40" i="5"/>
  <c r="G81" i="5"/>
  <c r="H175" i="5"/>
  <c r="H167" i="5"/>
  <c r="H168" i="5"/>
  <c r="H172" i="5"/>
  <c r="H166" i="5"/>
  <c r="G47" i="5"/>
  <c r="H39" i="5"/>
  <c r="G78" i="5"/>
  <c r="H154" i="5"/>
  <c r="G77" i="5"/>
  <c r="H158" i="5"/>
  <c r="H170" i="5"/>
  <c r="E83" i="5"/>
  <c r="G74" i="5"/>
  <c r="H45" i="5"/>
  <c r="M23" i="5"/>
  <c r="A94" i="23" l="1"/>
  <c r="BN45" i="21"/>
  <c r="BM45" i="21"/>
  <c r="CL46" i="21"/>
  <c r="CM46" i="21"/>
  <c r="BX45" i="21"/>
  <c r="BW47" i="21"/>
  <c r="CR47" i="21" s="1"/>
  <c r="CC46" i="21"/>
  <c r="BZ46" i="21"/>
  <c r="CB46" i="21"/>
  <c r="CA46" i="21"/>
  <c r="BK45" i="21"/>
  <c r="BJ45" i="21"/>
  <c r="BL45" i="21"/>
  <c r="BA44" i="21"/>
  <c r="BU45" i="21"/>
  <c r="BQ45" i="21"/>
  <c r="BH45" i="21"/>
  <c r="BD45" i="21"/>
  <c r="BT45" i="21"/>
  <c r="BP45" i="21"/>
  <c r="BG45" i="21"/>
  <c r="BC45" i="21"/>
  <c r="BS45" i="21"/>
  <c r="BO45" i="21"/>
  <c r="BF45" i="21"/>
  <c r="BE45" i="21"/>
  <c r="BR45" i="21"/>
  <c r="BI45" i="21"/>
  <c r="AZ46" i="21"/>
  <c r="H36" i="5"/>
  <c r="H73" i="5" s="1"/>
  <c r="H110" i="5" s="1"/>
  <c r="G111" i="5"/>
  <c r="G112" i="5"/>
  <c r="G113" i="5"/>
  <c r="G114" i="5"/>
  <c r="G115" i="5"/>
  <c r="G116" i="5"/>
  <c r="G117" i="5"/>
  <c r="G118" i="5"/>
  <c r="G119" i="5"/>
  <c r="G109" i="5"/>
  <c r="H72" i="5"/>
  <c r="I35" i="5"/>
  <c r="F120" i="5"/>
  <c r="E120" i="5"/>
  <c r="G120" i="5"/>
  <c r="D85" i="5"/>
  <c r="D49" i="5"/>
  <c r="R24" i="5"/>
  <c r="I154" i="5"/>
  <c r="H77" i="5"/>
  <c r="I153" i="5"/>
  <c r="H80" i="5"/>
  <c r="H84" i="5"/>
  <c r="I165" i="5"/>
  <c r="G84" i="5"/>
  <c r="H76" i="5"/>
  <c r="E48" i="5"/>
  <c r="I48" i="5"/>
  <c r="R21" i="5"/>
  <c r="I42" i="5"/>
  <c r="I38" i="5"/>
  <c r="H75" i="5"/>
  <c r="I176" i="5"/>
  <c r="H48" i="5"/>
  <c r="I156" i="5"/>
  <c r="I167" i="5"/>
  <c r="H81" i="5"/>
  <c r="H83" i="5"/>
  <c r="I173" i="5"/>
  <c r="I163" i="5"/>
  <c r="I46" i="5"/>
  <c r="R23" i="5"/>
  <c r="I159" i="5"/>
  <c r="I170" i="5"/>
  <c r="I152" i="5"/>
  <c r="I169" i="5"/>
  <c r="I166" i="5"/>
  <c r="I162" i="5"/>
  <c r="F48" i="5"/>
  <c r="I41" i="5"/>
  <c r="I168" i="5"/>
  <c r="E84" i="5"/>
  <c r="E177" i="5"/>
  <c r="I161" i="5"/>
  <c r="R25" i="5"/>
  <c r="I160" i="5"/>
  <c r="H177" i="5"/>
  <c r="H82" i="5"/>
  <c r="I171" i="5"/>
  <c r="I175" i="5"/>
  <c r="I44" i="5"/>
  <c r="I40" i="5"/>
  <c r="F84" i="5"/>
  <c r="I39" i="5"/>
  <c r="I155" i="5"/>
  <c r="I174" i="5"/>
  <c r="G177" i="5"/>
  <c r="I164" i="5"/>
  <c r="H79" i="5"/>
  <c r="I158" i="5"/>
  <c r="I157" i="5"/>
  <c r="I177" i="5"/>
  <c r="I172" i="5"/>
  <c r="H74" i="5"/>
  <c r="G48" i="5"/>
  <c r="R22" i="5"/>
  <c r="I45" i="5"/>
  <c r="I47" i="5"/>
  <c r="F177" i="5"/>
  <c r="I37" i="5"/>
  <c r="I43" i="5"/>
  <c r="H78" i="5"/>
  <c r="A95" i="23" l="1"/>
  <c r="A96" i="23" s="1"/>
  <c r="A97" i="23" s="1"/>
  <c r="A98" i="23" s="1"/>
  <c r="BN46" i="21"/>
  <c r="BM46" i="21"/>
  <c r="BX46" i="21"/>
  <c r="CL47" i="21"/>
  <c r="CM47" i="21"/>
  <c r="BW48" i="21"/>
  <c r="CR48" i="21" s="1"/>
  <c r="CC47" i="21"/>
  <c r="CB47" i="21"/>
  <c r="CA47" i="21"/>
  <c r="BZ47" i="21"/>
  <c r="BJ46" i="21"/>
  <c r="BL46" i="21"/>
  <c r="BK46" i="21"/>
  <c r="BA45" i="21"/>
  <c r="BS46" i="21"/>
  <c r="BO46" i="21"/>
  <c r="BF46" i="21"/>
  <c r="BR46" i="21"/>
  <c r="BI46" i="21"/>
  <c r="BE46" i="21"/>
  <c r="BU46" i="21"/>
  <c r="BQ46" i="21"/>
  <c r="BH46" i="21"/>
  <c r="BD46" i="21"/>
  <c r="BC46" i="21"/>
  <c r="BP46" i="21"/>
  <c r="BG46" i="21"/>
  <c r="BT46" i="21"/>
  <c r="AZ47" i="21"/>
  <c r="I36" i="5"/>
  <c r="I73" i="5" s="1"/>
  <c r="I110" i="5" s="1"/>
  <c r="H111" i="5"/>
  <c r="H112" i="5"/>
  <c r="H113" i="5"/>
  <c r="H114" i="5"/>
  <c r="H115" i="5"/>
  <c r="H116" i="5"/>
  <c r="H117" i="5"/>
  <c r="H118" i="5"/>
  <c r="H119" i="5"/>
  <c r="H120" i="5"/>
  <c r="H109" i="5"/>
  <c r="I72" i="5"/>
  <c r="J35" i="5"/>
  <c r="F121" i="5"/>
  <c r="H121" i="5"/>
  <c r="G121" i="5"/>
  <c r="E121" i="5"/>
  <c r="D86" i="5"/>
  <c r="D50" i="5"/>
  <c r="W3" i="5"/>
  <c r="V7" i="10"/>
  <c r="V6" i="10"/>
  <c r="N7" i="10"/>
  <c r="J160" i="5"/>
  <c r="I81" i="5"/>
  <c r="I49" i="5"/>
  <c r="J162" i="5"/>
  <c r="J155" i="5"/>
  <c r="I76" i="5"/>
  <c r="I80" i="5"/>
  <c r="F178" i="5"/>
  <c r="J156" i="5"/>
  <c r="J42" i="5"/>
  <c r="J41" i="5"/>
  <c r="H178" i="5"/>
  <c r="J48" i="5"/>
  <c r="J159" i="5"/>
  <c r="F85" i="5"/>
  <c r="E178" i="5"/>
  <c r="H85" i="5"/>
  <c r="J158" i="5"/>
  <c r="J177" i="5"/>
  <c r="W24" i="5"/>
  <c r="J45" i="5"/>
  <c r="I79" i="5"/>
  <c r="H49" i="5"/>
  <c r="F49" i="5"/>
  <c r="J167" i="5"/>
  <c r="J171" i="5"/>
  <c r="J178" i="5"/>
  <c r="W22" i="5"/>
  <c r="G85" i="5"/>
  <c r="J152" i="5"/>
  <c r="J174" i="5"/>
  <c r="J47" i="5"/>
  <c r="I82" i="5"/>
  <c r="E49" i="5"/>
  <c r="J176" i="5"/>
  <c r="J172" i="5"/>
  <c r="W21" i="5"/>
  <c r="I78" i="5"/>
  <c r="I75" i="5"/>
  <c r="J38" i="5"/>
  <c r="J44" i="5"/>
  <c r="J164" i="5"/>
  <c r="G49" i="5"/>
  <c r="J153" i="5"/>
  <c r="J170" i="5"/>
  <c r="J161" i="5"/>
  <c r="J39" i="5"/>
  <c r="J165" i="5"/>
  <c r="G178" i="5"/>
  <c r="J49" i="5"/>
  <c r="W23" i="5"/>
  <c r="J173" i="5"/>
  <c r="I77" i="5"/>
  <c r="J40" i="5"/>
  <c r="W25" i="5"/>
  <c r="I83" i="5"/>
  <c r="J43" i="5"/>
  <c r="J157" i="5"/>
  <c r="J175" i="5"/>
  <c r="I74" i="5"/>
  <c r="J168" i="5"/>
  <c r="J163" i="5"/>
  <c r="I178" i="5"/>
  <c r="J154" i="5"/>
  <c r="J166" i="5"/>
  <c r="I85" i="5"/>
  <c r="E85" i="5"/>
  <c r="J46" i="5"/>
  <c r="J37" i="5"/>
  <c r="I84" i="5"/>
  <c r="J169" i="5"/>
  <c r="A99" i="23" l="1"/>
  <c r="A100" i="23" s="1"/>
  <c r="A101" i="23" s="1"/>
  <c r="A102" i="23" s="1"/>
  <c r="A103" i="23" s="1"/>
  <c r="W7" i="10"/>
  <c r="U7" i="10"/>
  <c r="BN47" i="21"/>
  <c r="BM47" i="21"/>
  <c r="X7" i="10"/>
  <c r="CL48" i="21"/>
  <c r="CM48" i="21"/>
  <c r="BX47" i="21"/>
  <c r="BW49" i="21"/>
  <c r="CR49" i="21" s="1"/>
  <c r="CC48" i="21"/>
  <c r="BZ48" i="21"/>
  <c r="CB48" i="21"/>
  <c r="CA48" i="21"/>
  <c r="BK47" i="21"/>
  <c r="BL47" i="21"/>
  <c r="BJ47" i="21"/>
  <c r="BA46" i="21"/>
  <c r="BU47" i="21"/>
  <c r="BQ47" i="21"/>
  <c r="BH47" i="21"/>
  <c r="BD47" i="21"/>
  <c r="BT47" i="21"/>
  <c r="BP47" i="21"/>
  <c r="BG47" i="21"/>
  <c r="BC47" i="21"/>
  <c r="BS47" i="21"/>
  <c r="BO47" i="21"/>
  <c r="BF47" i="21"/>
  <c r="BE47" i="21"/>
  <c r="BR47" i="21"/>
  <c r="BI47" i="21"/>
  <c r="AZ48" i="21"/>
  <c r="J36" i="5"/>
  <c r="J73" i="5" s="1"/>
  <c r="J110" i="5" s="1"/>
  <c r="E150" i="5"/>
  <c r="I111" i="5"/>
  <c r="I112" i="5"/>
  <c r="I113" i="5"/>
  <c r="I114" i="5"/>
  <c r="I115" i="5"/>
  <c r="I116" i="5"/>
  <c r="I117" i="5"/>
  <c r="I118" i="5"/>
  <c r="I119" i="5"/>
  <c r="I120" i="5"/>
  <c r="I121" i="5"/>
  <c r="J72" i="5"/>
  <c r="K35" i="5"/>
  <c r="I109" i="5"/>
  <c r="E122" i="5"/>
  <c r="I122" i="5"/>
  <c r="G122" i="5"/>
  <c r="F122" i="5"/>
  <c r="H122" i="5"/>
  <c r="D87" i="5"/>
  <c r="D51" i="5"/>
  <c r="P6" i="10"/>
  <c r="J7" i="10"/>
  <c r="K7" i="10"/>
  <c r="I7" i="10"/>
  <c r="P7" i="10"/>
  <c r="L7" i="10"/>
  <c r="N6" i="10"/>
  <c r="V5" i="10"/>
  <c r="N5" i="10"/>
  <c r="W5" i="10" s="1"/>
  <c r="V3" i="10"/>
  <c r="V4" i="10"/>
  <c r="N4" i="10"/>
  <c r="W4" i="10" s="1"/>
  <c r="N3" i="10"/>
  <c r="W3" i="10" s="1"/>
  <c r="V2" i="10"/>
  <c r="W2" i="10"/>
  <c r="K160" i="5"/>
  <c r="J80" i="5"/>
  <c r="E50" i="5"/>
  <c r="F50" i="5"/>
  <c r="J179" i="5"/>
  <c r="G86" i="5"/>
  <c r="H86" i="5"/>
  <c r="H50" i="5"/>
  <c r="K42" i="5"/>
  <c r="K165" i="5"/>
  <c r="K176" i="5"/>
  <c r="K173" i="5"/>
  <c r="K154" i="5"/>
  <c r="J82" i="5"/>
  <c r="K50" i="5"/>
  <c r="J79" i="5"/>
  <c r="K164" i="5"/>
  <c r="I179" i="5"/>
  <c r="K171" i="5"/>
  <c r="K179" i="5"/>
  <c r="K168" i="5"/>
  <c r="F86" i="5"/>
  <c r="K163" i="5"/>
  <c r="K175" i="5"/>
  <c r="J85" i="5"/>
  <c r="J84" i="5"/>
  <c r="K49" i="5"/>
  <c r="J83" i="5"/>
  <c r="K162" i="5"/>
  <c r="I50" i="5"/>
  <c r="K46" i="5"/>
  <c r="K169" i="5"/>
  <c r="K43" i="5"/>
  <c r="K157" i="5"/>
  <c r="K39" i="5"/>
  <c r="J76" i="5"/>
  <c r="K177" i="5"/>
  <c r="E179" i="5"/>
  <c r="K161" i="5"/>
  <c r="F179" i="5"/>
  <c r="K159" i="5"/>
  <c r="J50" i="5"/>
  <c r="J78" i="5"/>
  <c r="K40" i="5"/>
  <c r="K38" i="5"/>
  <c r="K41" i="5"/>
  <c r="K172" i="5"/>
  <c r="K156" i="5"/>
  <c r="I86" i="5"/>
  <c r="G50" i="5"/>
  <c r="E86" i="5"/>
  <c r="K170" i="5"/>
  <c r="G179" i="5"/>
  <c r="K47" i="5"/>
  <c r="J75" i="5"/>
  <c r="K174" i="5"/>
  <c r="K44" i="5"/>
  <c r="J81" i="5"/>
  <c r="K167" i="5"/>
  <c r="K155" i="5"/>
  <c r="J74" i="5"/>
  <c r="J77" i="5"/>
  <c r="J86" i="5"/>
  <c r="K153" i="5"/>
  <c r="H179" i="5"/>
  <c r="K152" i="5"/>
  <c r="K166" i="5"/>
  <c r="K48" i="5"/>
  <c r="K158" i="5"/>
  <c r="K178" i="5"/>
  <c r="K45" i="5"/>
  <c r="K37" i="5"/>
  <c r="A104" i="23" l="1"/>
  <c r="BN48" i="21"/>
  <c r="BM48" i="21"/>
  <c r="K2" i="21"/>
  <c r="CL49" i="21"/>
  <c r="CM49" i="21"/>
  <c r="BX48" i="21"/>
  <c r="BW50" i="21"/>
  <c r="CR50" i="21" s="1"/>
  <c r="CC49" i="21"/>
  <c r="BZ49" i="21"/>
  <c r="CB49" i="21"/>
  <c r="CA49" i="21"/>
  <c r="BL48" i="21"/>
  <c r="BK48" i="21"/>
  <c r="BJ48" i="21"/>
  <c r="BA47" i="21"/>
  <c r="BS48" i="21"/>
  <c r="BO48" i="21"/>
  <c r="BF48" i="21"/>
  <c r="BR48" i="21"/>
  <c r="BI48" i="21"/>
  <c r="BE48" i="21"/>
  <c r="BU48" i="21"/>
  <c r="BQ48" i="21"/>
  <c r="BH48" i="21"/>
  <c r="BD48" i="21"/>
  <c r="BG48" i="21"/>
  <c r="BC48" i="21"/>
  <c r="BT48" i="21"/>
  <c r="BP48" i="21"/>
  <c r="AZ49" i="21"/>
  <c r="K36" i="5"/>
  <c r="K73" i="5" s="1"/>
  <c r="K110" i="5" s="1"/>
  <c r="E151" i="5"/>
  <c r="F150" i="5"/>
  <c r="J111" i="5"/>
  <c r="J112" i="5"/>
  <c r="J113" i="5"/>
  <c r="J114" i="5"/>
  <c r="J115" i="5"/>
  <c r="J116" i="5"/>
  <c r="J117" i="5"/>
  <c r="J118" i="5"/>
  <c r="J119" i="5"/>
  <c r="J120" i="5"/>
  <c r="J121" i="5"/>
  <c r="J122" i="5"/>
  <c r="K72" i="5"/>
  <c r="L35" i="5"/>
  <c r="J109" i="5"/>
  <c r="H123" i="5"/>
  <c r="E123" i="5"/>
  <c r="F123" i="5"/>
  <c r="J123" i="5"/>
  <c r="I123" i="5"/>
  <c r="G123" i="5"/>
  <c r="D88" i="5"/>
  <c r="D52" i="5"/>
  <c r="P4" i="10"/>
  <c r="P3" i="10"/>
  <c r="P5" i="10"/>
  <c r="I2" i="10"/>
  <c r="L2" i="10"/>
  <c r="K2" i="10"/>
  <c r="J2" i="10"/>
  <c r="W6" i="10"/>
  <c r="U6" i="10"/>
  <c r="J6" i="10"/>
  <c r="L6" i="10"/>
  <c r="I6" i="10"/>
  <c r="K6" i="10"/>
  <c r="X6" i="10"/>
  <c r="J5" i="10"/>
  <c r="L5" i="10"/>
  <c r="I5" i="10"/>
  <c r="K5" i="10"/>
  <c r="X5" i="10"/>
  <c r="U5" i="10"/>
  <c r="J4" i="10"/>
  <c r="I4" i="10"/>
  <c r="L4" i="10"/>
  <c r="K4" i="10"/>
  <c r="U4" i="10"/>
  <c r="X4" i="10"/>
  <c r="L3" i="10"/>
  <c r="K3" i="10"/>
  <c r="J3" i="10"/>
  <c r="I3" i="10"/>
  <c r="X3" i="10"/>
  <c r="U3" i="10"/>
  <c r="X2" i="10"/>
  <c r="U2" i="10"/>
  <c r="L176" i="5"/>
  <c r="L166" i="5"/>
  <c r="I87" i="5"/>
  <c r="L45" i="5"/>
  <c r="L165" i="5"/>
  <c r="L46" i="5"/>
  <c r="L51" i="5"/>
  <c r="J51" i="5"/>
  <c r="L50" i="5"/>
  <c r="L40" i="5"/>
  <c r="K51" i="5"/>
  <c r="J87" i="5"/>
  <c r="H87" i="5"/>
  <c r="L174" i="5"/>
  <c r="L162" i="5"/>
  <c r="L180" i="5"/>
  <c r="K74" i="5"/>
  <c r="F180" i="5"/>
  <c r="G51" i="5"/>
  <c r="L48" i="5"/>
  <c r="E87" i="5"/>
  <c r="K81" i="5"/>
  <c r="L42" i="5"/>
  <c r="K86" i="5"/>
  <c r="G87" i="5"/>
  <c r="L163" i="5"/>
  <c r="L178" i="5"/>
  <c r="L47" i="5"/>
  <c r="L164" i="5"/>
  <c r="L155" i="5"/>
  <c r="K78" i="5"/>
  <c r="L173" i="5"/>
  <c r="L44" i="5"/>
  <c r="J180" i="5"/>
  <c r="L171" i="5"/>
  <c r="I51" i="5"/>
  <c r="L169" i="5"/>
  <c r="L154" i="5"/>
  <c r="L168" i="5"/>
  <c r="G180" i="5"/>
  <c r="L167" i="5"/>
  <c r="L152" i="5"/>
  <c r="K75" i="5"/>
  <c r="L153" i="5"/>
  <c r="K180" i="5"/>
  <c r="L157" i="5"/>
  <c r="L41" i="5"/>
  <c r="E51" i="5"/>
  <c r="K82" i="5"/>
  <c r="H180" i="5"/>
  <c r="L49" i="5"/>
  <c r="L39" i="5"/>
  <c r="L170" i="5"/>
  <c r="L38" i="5"/>
  <c r="K87" i="5"/>
  <c r="L159" i="5"/>
  <c r="K84" i="5"/>
  <c r="K79" i="5"/>
  <c r="L179" i="5"/>
  <c r="I180" i="5"/>
  <c r="F87" i="5"/>
  <c r="L177" i="5"/>
  <c r="H51" i="5"/>
  <c r="K77" i="5"/>
  <c r="E180" i="5"/>
  <c r="K83" i="5"/>
  <c r="L156" i="5"/>
  <c r="L172" i="5"/>
  <c r="L160" i="5"/>
  <c r="K85" i="5"/>
  <c r="L161" i="5"/>
  <c r="L37" i="5"/>
  <c r="L158" i="5"/>
  <c r="K80" i="5"/>
  <c r="K76" i="5"/>
  <c r="L43" i="5"/>
  <c r="L175" i="5"/>
  <c r="F51" i="5"/>
  <c r="A105" i="23" l="1"/>
  <c r="BN49" i="21"/>
  <c r="BM49" i="21"/>
  <c r="N2" i="21"/>
  <c r="B13" i="21"/>
  <c r="B10" i="21"/>
  <c r="CL50" i="21"/>
  <c r="CM50" i="21"/>
  <c r="BX49" i="21"/>
  <c r="BW51" i="21"/>
  <c r="CR51" i="21" s="1"/>
  <c r="CC50" i="21"/>
  <c r="CB50" i="21"/>
  <c r="CA50" i="21"/>
  <c r="BZ50" i="21"/>
  <c r="BK49" i="21"/>
  <c r="BJ49" i="21"/>
  <c r="BL49" i="21"/>
  <c r="BA48" i="21"/>
  <c r="BU49" i="21"/>
  <c r="BQ49" i="21"/>
  <c r="BH49" i="21"/>
  <c r="BD49" i="21"/>
  <c r="BT49" i="21"/>
  <c r="BP49" i="21"/>
  <c r="BG49" i="21"/>
  <c r="BC49" i="21"/>
  <c r="BS49" i="21"/>
  <c r="BO49" i="21"/>
  <c r="BF49" i="21"/>
  <c r="BI49" i="21"/>
  <c r="BR49" i="21"/>
  <c r="BE49" i="21"/>
  <c r="AZ50" i="21"/>
  <c r="L36" i="5"/>
  <c r="L73" i="5" s="1"/>
  <c r="L110" i="5" s="1"/>
  <c r="F151" i="5"/>
  <c r="G150" i="5"/>
  <c r="K111" i="5"/>
  <c r="K112" i="5"/>
  <c r="K113" i="5"/>
  <c r="K114" i="5"/>
  <c r="K115" i="5"/>
  <c r="K116" i="5"/>
  <c r="K117" i="5"/>
  <c r="K118" i="5"/>
  <c r="K119" i="5"/>
  <c r="K120" i="5"/>
  <c r="K121" i="5"/>
  <c r="K122" i="5"/>
  <c r="K123" i="5"/>
  <c r="M35" i="5"/>
  <c r="L72" i="5"/>
  <c r="K109" i="5"/>
  <c r="F124" i="5"/>
  <c r="J124" i="5"/>
  <c r="G124" i="5"/>
  <c r="E124" i="5"/>
  <c r="K124" i="5"/>
  <c r="H124" i="5"/>
  <c r="I124" i="5"/>
  <c r="D89" i="5"/>
  <c r="D53" i="5"/>
  <c r="G88" i="5"/>
  <c r="L74" i="5"/>
  <c r="J88" i="5"/>
  <c r="J181" i="5"/>
  <c r="L84" i="5"/>
  <c r="L77" i="5"/>
  <c r="M162" i="5"/>
  <c r="M51" i="5"/>
  <c r="L86" i="5"/>
  <c r="M153" i="5"/>
  <c r="M41" i="5"/>
  <c r="L87" i="5"/>
  <c r="L181" i="5"/>
  <c r="M178" i="5"/>
  <c r="M181" i="5"/>
  <c r="J52" i="5"/>
  <c r="H52" i="5"/>
  <c r="L88" i="5"/>
  <c r="L52" i="5"/>
  <c r="M154" i="5"/>
  <c r="L78" i="5"/>
  <c r="M44" i="5"/>
  <c r="F52" i="5"/>
  <c r="M166" i="5"/>
  <c r="F88" i="5"/>
  <c r="K88" i="5"/>
  <c r="I181" i="5"/>
  <c r="M167" i="5"/>
  <c r="L75" i="5"/>
  <c r="K52" i="5"/>
  <c r="M50" i="5"/>
  <c r="M152" i="5"/>
  <c r="M158" i="5"/>
  <c r="H88" i="5"/>
  <c r="M43" i="5"/>
  <c r="M155" i="5"/>
  <c r="L85" i="5"/>
  <c r="M173" i="5"/>
  <c r="M172" i="5"/>
  <c r="M160" i="5"/>
  <c r="M45" i="5"/>
  <c r="M170" i="5"/>
  <c r="M48" i="5"/>
  <c r="M169" i="5"/>
  <c r="M168" i="5"/>
  <c r="L80" i="5"/>
  <c r="I88" i="5"/>
  <c r="L81" i="5"/>
  <c r="M180" i="5"/>
  <c r="M175" i="5"/>
  <c r="M38" i="5"/>
  <c r="F181" i="5"/>
  <c r="M156" i="5"/>
  <c r="M49" i="5"/>
  <c r="M52" i="5"/>
  <c r="M161" i="5"/>
  <c r="M37" i="5"/>
  <c r="M165" i="5"/>
  <c r="M42" i="5"/>
  <c r="M46" i="5"/>
  <c r="L83" i="5"/>
  <c r="G52" i="5"/>
  <c r="L76" i="5"/>
  <c r="M47" i="5"/>
  <c r="M159" i="5"/>
  <c r="E88" i="5"/>
  <c r="M164" i="5"/>
  <c r="M171" i="5"/>
  <c r="H181" i="5"/>
  <c r="M157" i="5"/>
  <c r="M176" i="5"/>
  <c r="L79" i="5"/>
  <c r="M40" i="5"/>
  <c r="K181" i="5"/>
  <c r="M174" i="5"/>
  <c r="L82" i="5"/>
  <c r="E181" i="5"/>
  <c r="I52" i="5"/>
  <c r="M39" i="5"/>
  <c r="M177" i="5"/>
  <c r="M163" i="5"/>
  <c r="E52" i="5"/>
  <c r="M179" i="5"/>
  <c r="G181" i="5"/>
  <c r="A106" i="23" l="1"/>
  <c r="BN50" i="21"/>
  <c r="BM50" i="21"/>
  <c r="B12" i="21"/>
  <c r="Q2" i="21"/>
  <c r="O2" i="21"/>
  <c r="P2" i="21"/>
  <c r="AF2" i="21" s="1"/>
  <c r="CL51" i="21"/>
  <c r="CM51" i="21"/>
  <c r="BX50" i="21"/>
  <c r="BW52" i="21"/>
  <c r="CR52" i="21" s="1"/>
  <c r="CC51" i="21"/>
  <c r="CB51" i="21"/>
  <c r="CA51" i="21"/>
  <c r="BZ51" i="21"/>
  <c r="BJ50" i="21"/>
  <c r="BL50" i="21"/>
  <c r="BK50" i="21"/>
  <c r="BA49" i="21"/>
  <c r="BS50" i="21"/>
  <c r="BO50" i="21"/>
  <c r="BF50" i="21"/>
  <c r="BR50" i="21"/>
  <c r="BI50" i="21"/>
  <c r="BE50" i="21"/>
  <c r="BU50" i="21"/>
  <c r="BQ50" i="21"/>
  <c r="BH50" i="21"/>
  <c r="BD50" i="21"/>
  <c r="BT50" i="21"/>
  <c r="BP50" i="21"/>
  <c r="BC50" i="21"/>
  <c r="BG50" i="21"/>
  <c r="AZ51" i="21"/>
  <c r="M36" i="5"/>
  <c r="M73" i="5" s="1"/>
  <c r="M110" i="5" s="1"/>
  <c r="H150" i="5"/>
  <c r="G151" i="5"/>
  <c r="L111" i="5"/>
  <c r="L112" i="5"/>
  <c r="L113" i="5"/>
  <c r="L114" i="5"/>
  <c r="L115" i="5"/>
  <c r="L116" i="5"/>
  <c r="L117" i="5"/>
  <c r="L118" i="5"/>
  <c r="L119" i="5"/>
  <c r="L120" i="5"/>
  <c r="L121" i="5"/>
  <c r="L122" i="5"/>
  <c r="L123" i="5"/>
  <c r="L124" i="5"/>
  <c r="L109" i="5"/>
  <c r="M72" i="5"/>
  <c r="N35" i="5"/>
  <c r="I125" i="5"/>
  <c r="H125" i="5"/>
  <c r="L125" i="5"/>
  <c r="F125" i="5"/>
  <c r="J125" i="5"/>
  <c r="G125" i="5"/>
  <c r="E125" i="5"/>
  <c r="K125" i="5"/>
  <c r="D90" i="5"/>
  <c r="D54" i="5"/>
  <c r="H27" i="5"/>
  <c r="H6" i="5" s="1"/>
  <c r="M27" i="5"/>
  <c r="N41" i="5"/>
  <c r="N160" i="5"/>
  <c r="M53" i="5"/>
  <c r="N50" i="5"/>
  <c r="N162" i="5"/>
  <c r="N178" i="5"/>
  <c r="N169" i="5"/>
  <c r="G53" i="5"/>
  <c r="N49" i="5"/>
  <c r="N48" i="5"/>
  <c r="M84" i="5"/>
  <c r="L89" i="5"/>
  <c r="N165" i="5"/>
  <c r="N46" i="5"/>
  <c r="F89" i="5"/>
  <c r="N163" i="5"/>
  <c r="N170" i="5"/>
  <c r="G89" i="5"/>
  <c r="N42" i="5"/>
  <c r="N155" i="5"/>
  <c r="N153" i="5"/>
  <c r="N182" i="5"/>
  <c r="M87" i="5"/>
  <c r="K53" i="5"/>
  <c r="N52" i="5"/>
  <c r="N152" i="5"/>
  <c r="M182" i="5"/>
  <c r="N44" i="5"/>
  <c r="N167" i="5"/>
  <c r="N177" i="5"/>
  <c r="M88" i="5"/>
  <c r="N157" i="5"/>
  <c r="N171" i="5"/>
  <c r="N156" i="5"/>
  <c r="I53" i="5"/>
  <c r="M89" i="5"/>
  <c r="E89" i="5"/>
  <c r="J89" i="5"/>
  <c r="L53" i="5"/>
  <c r="H89" i="5"/>
  <c r="N154" i="5"/>
  <c r="M79" i="5"/>
  <c r="N47" i="5"/>
  <c r="N174" i="5"/>
  <c r="N175" i="5"/>
  <c r="N172" i="5"/>
  <c r="N181" i="5"/>
  <c r="N53" i="5"/>
  <c r="N168" i="5"/>
  <c r="N43" i="5"/>
  <c r="I182" i="5"/>
  <c r="L182" i="5"/>
  <c r="N38" i="5"/>
  <c r="F182" i="5"/>
  <c r="E53" i="5"/>
  <c r="M74" i="5"/>
  <c r="M77" i="5"/>
  <c r="N176" i="5"/>
  <c r="N173" i="5"/>
  <c r="M82" i="5"/>
  <c r="N164" i="5"/>
  <c r="N39" i="5"/>
  <c r="N37" i="5"/>
  <c r="N179" i="5"/>
  <c r="F53" i="5"/>
  <c r="M80" i="5"/>
  <c r="M76" i="5"/>
  <c r="M83" i="5"/>
  <c r="N161" i="5"/>
  <c r="M85" i="5"/>
  <c r="K182" i="5"/>
  <c r="E182" i="5"/>
  <c r="H182" i="5"/>
  <c r="M86" i="5"/>
  <c r="N158" i="5"/>
  <c r="G182" i="5"/>
  <c r="J182" i="5"/>
  <c r="N166" i="5"/>
  <c r="M78" i="5"/>
  <c r="I89" i="5"/>
  <c r="N45" i="5"/>
  <c r="M81" i="5"/>
  <c r="M75" i="5"/>
  <c r="N51" i="5"/>
  <c r="N180" i="5"/>
  <c r="N159" i="5"/>
  <c r="K89" i="5"/>
  <c r="J53" i="5"/>
  <c r="N40" i="5"/>
  <c r="H53" i="5"/>
  <c r="A107" i="23" l="1"/>
  <c r="A108" i="23" s="1"/>
  <c r="AC2" i="21"/>
  <c r="BN51" i="21"/>
  <c r="BM51" i="21"/>
  <c r="X2" i="21"/>
  <c r="AD2" i="21"/>
  <c r="Z2" i="21"/>
  <c r="AE2" i="21"/>
  <c r="V2" i="21"/>
  <c r="U2" i="21"/>
  <c r="AA2" i="21"/>
  <c r="W2" i="21"/>
  <c r="T2" i="21"/>
  <c r="AB2" i="21"/>
  <c r="AG2" i="21"/>
  <c r="Y2" i="21"/>
  <c r="R2" i="21"/>
  <c r="CL52" i="21"/>
  <c r="CM52" i="21"/>
  <c r="BX51" i="21"/>
  <c r="BW53" i="21"/>
  <c r="CR53" i="21" s="1"/>
  <c r="CC52" i="21"/>
  <c r="CB52" i="21"/>
  <c r="CA52" i="21"/>
  <c r="BZ52" i="21"/>
  <c r="BL51" i="21"/>
  <c r="BK51" i="21"/>
  <c r="BJ51" i="21"/>
  <c r="BA50" i="21"/>
  <c r="BU51" i="21"/>
  <c r="BQ51" i="21"/>
  <c r="BH51" i="21"/>
  <c r="BD51" i="21"/>
  <c r="BT51" i="21"/>
  <c r="BP51" i="21"/>
  <c r="BG51" i="21"/>
  <c r="BC51" i="21"/>
  <c r="BS51" i="21"/>
  <c r="BO51" i="21"/>
  <c r="BF51" i="21"/>
  <c r="BR51" i="21"/>
  <c r="BI51" i="21"/>
  <c r="BE51" i="21"/>
  <c r="AZ52" i="21"/>
  <c r="N36" i="5"/>
  <c r="N73" i="5" s="1"/>
  <c r="N110" i="5" s="1"/>
  <c r="H151" i="5"/>
  <c r="I150" i="5"/>
  <c r="M111" i="5"/>
  <c r="M112" i="5"/>
  <c r="M113" i="5"/>
  <c r="M114" i="5"/>
  <c r="M115" i="5"/>
  <c r="M116" i="5"/>
  <c r="M117" i="5"/>
  <c r="M118" i="5"/>
  <c r="M119" i="5"/>
  <c r="M120" i="5"/>
  <c r="M121" i="5"/>
  <c r="M122" i="5"/>
  <c r="M123" i="5"/>
  <c r="M124" i="5"/>
  <c r="M125" i="5"/>
  <c r="O35" i="5"/>
  <c r="N72" i="5"/>
  <c r="M109" i="5"/>
  <c r="G126" i="5"/>
  <c r="L126" i="5"/>
  <c r="E126" i="5"/>
  <c r="K126" i="5"/>
  <c r="I126" i="5"/>
  <c r="M126" i="5"/>
  <c r="F126" i="5"/>
  <c r="H126" i="5"/>
  <c r="J126" i="5"/>
  <c r="D91" i="5"/>
  <c r="D55" i="5"/>
  <c r="H7" i="5"/>
  <c r="M17" i="5"/>
  <c r="M18" i="5" s="1"/>
  <c r="M12" i="5"/>
  <c r="M19" i="5"/>
  <c r="M20" i="5" s="1"/>
  <c r="M13" i="5"/>
  <c r="M14" i="5" s="1"/>
  <c r="M15" i="5"/>
  <c r="M16" i="5" s="1"/>
  <c r="M11" i="5"/>
  <c r="M6" i="5"/>
  <c r="M7" i="5" s="1"/>
  <c r="H19" i="5"/>
  <c r="H20" i="5" s="1"/>
  <c r="H13" i="5"/>
  <c r="H14" i="5" s="1"/>
  <c r="H12" i="5"/>
  <c r="H11" i="5"/>
  <c r="H15" i="5"/>
  <c r="H16" i="5" s="1"/>
  <c r="H17" i="5"/>
  <c r="H18" i="5" s="1"/>
  <c r="Z26" i="5"/>
  <c r="U26" i="5"/>
  <c r="N81" i="5"/>
  <c r="G90" i="5"/>
  <c r="O180" i="5"/>
  <c r="N86" i="5"/>
  <c r="E54" i="5"/>
  <c r="O156" i="5"/>
  <c r="O162" i="5"/>
  <c r="O157" i="5"/>
  <c r="O37" i="5"/>
  <c r="O47" i="5"/>
  <c r="O41" i="5"/>
  <c r="K54" i="5"/>
  <c r="O42" i="5"/>
  <c r="O38" i="5"/>
  <c r="I54" i="5"/>
  <c r="O170" i="5"/>
  <c r="O154" i="5"/>
  <c r="O171" i="5"/>
  <c r="N75" i="5"/>
  <c r="O167" i="5"/>
  <c r="O40" i="5"/>
  <c r="O49" i="5"/>
  <c r="O165" i="5"/>
  <c r="O161" i="5"/>
  <c r="J54" i="5"/>
  <c r="E183" i="5"/>
  <c r="O168" i="5"/>
  <c r="O183" i="5"/>
  <c r="L183" i="5"/>
  <c r="O176" i="5"/>
  <c r="N77" i="5"/>
  <c r="N90" i="5"/>
  <c r="O44" i="5"/>
  <c r="O160" i="5"/>
  <c r="O51" i="5"/>
  <c r="O45" i="5"/>
  <c r="O174" i="5"/>
  <c r="O54" i="5"/>
  <c r="O155" i="5"/>
  <c r="O182" i="5"/>
  <c r="N85" i="5"/>
  <c r="O159" i="5"/>
  <c r="O52" i="5"/>
  <c r="F54" i="5"/>
  <c r="O166" i="5"/>
  <c r="O177" i="5"/>
  <c r="M90" i="5"/>
  <c r="H90" i="5"/>
  <c r="O164" i="5"/>
  <c r="N76" i="5"/>
  <c r="O179" i="5"/>
  <c r="M54" i="5"/>
  <c r="O46" i="5"/>
  <c r="H54" i="5"/>
  <c r="O43" i="5"/>
  <c r="K183" i="5"/>
  <c r="O175" i="5"/>
  <c r="N78" i="5"/>
  <c r="J183" i="5"/>
  <c r="N74" i="5"/>
  <c r="N80" i="5"/>
  <c r="F90" i="5"/>
  <c r="J90" i="5"/>
  <c r="N82" i="5"/>
  <c r="K90" i="5"/>
  <c r="N88" i="5"/>
  <c r="O163" i="5"/>
  <c r="O173" i="5"/>
  <c r="H183" i="5"/>
  <c r="O48" i="5"/>
  <c r="N183" i="5"/>
  <c r="O181" i="5"/>
  <c r="O53" i="5"/>
  <c r="F183" i="5"/>
  <c r="N79" i="5"/>
  <c r="O172" i="5"/>
  <c r="I183" i="5"/>
  <c r="N84" i="5"/>
  <c r="O153" i="5"/>
  <c r="L54" i="5"/>
  <c r="L90" i="5"/>
  <c r="N89" i="5"/>
  <c r="G54" i="5"/>
  <c r="O158" i="5"/>
  <c r="O152" i="5"/>
  <c r="N87" i="5"/>
  <c r="O39" i="5"/>
  <c r="G183" i="5"/>
  <c r="O169" i="5"/>
  <c r="M183" i="5"/>
  <c r="I90" i="5"/>
  <c r="O178" i="5"/>
  <c r="N54" i="5"/>
  <c r="O50" i="5"/>
  <c r="N83" i="5"/>
  <c r="E90" i="5"/>
  <c r="A109" i="23" l="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157" i="23" s="1"/>
  <c r="A158" i="23" s="1"/>
  <c r="A159" i="23" s="1"/>
  <c r="A160" i="23" s="1"/>
  <c r="A161" i="23" s="1"/>
  <c r="A162" i="23" s="1"/>
  <c r="A163" i="23" s="1"/>
  <c r="A164" i="23" s="1"/>
  <c r="A165" i="23" s="1"/>
  <c r="A166" i="23" s="1"/>
  <c r="A167" i="23" s="1"/>
  <c r="A168" i="23" s="1"/>
  <c r="A169" i="23" s="1"/>
  <c r="A170" i="23" s="1"/>
  <c r="A171" i="23" s="1"/>
  <c r="A172" i="23" s="1"/>
  <c r="A173" i="23" s="1"/>
  <c r="A174" i="23" s="1"/>
  <c r="A175" i="23" s="1"/>
  <c r="A176" i="23" s="1"/>
  <c r="A177" i="23" s="1"/>
  <c r="A178" i="23" s="1"/>
  <c r="A179" i="23" s="1"/>
  <c r="A180" i="23" s="1"/>
  <c r="A181" i="23" s="1"/>
  <c r="A182" i="23" s="1"/>
  <c r="A183" i="23" s="1"/>
  <c r="A184" i="23" s="1"/>
  <c r="A185" i="23" s="1"/>
  <c r="A186" i="23" s="1"/>
  <c r="A187" i="23" s="1"/>
  <c r="A188" i="23" s="1"/>
  <c r="A189" i="23" s="1"/>
  <c r="A190" i="23" s="1"/>
  <c r="A191" i="23" s="1"/>
  <c r="A192" i="23" s="1"/>
  <c r="A193" i="23" s="1"/>
  <c r="A194" i="23" s="1"/>
  <c r="A195" i="23" s="1"/>
  <c r="A196" i="23" s="1"/>
  <c r="A197" i="23" s="1"/>
  <c r="A198" i="23" s="1"/>
  <c r="A199" i="23" s="1"/>
  <c r="A200" i="23" s="1"/>
  <c r="A201" i="23" s="1"/>
  <c r="A202" i="23" s="1"/>
  <c r="A203" i="23" s="1"/>
  <c r="A204" i="23" s="1"/>
  <c r="A205" i="23" s="1"/>
  <c r="A206" i="23" s="1"/>
  <c r="A207" i="23" s="1"/>
  <c r="A208" i="23" s="1"/>
  <c r="A209" i="23" s="1"/>
  <c r="A210" i="23" s="1"/>
  <c r="A211" i="23" s="1"/>
  <c r="A212" i="23" s="1"/>
  <c r="A213" i="23" s="1"/>
  <c r="A214" i="23" s="1"/>
  <c r="A215" i="23" s="1"/>
  <c r="A216" i="23" s="1"/>
  <c r="A217" i="23" s="1"/>
  <c r="A218" i="23" s="1"/>
  <c r="A219" i="23" s="1"/>
  <c r="A220" i="23" s="1"/>
  <c r="A221" i="23" s="1"/>
  <c r="A222" i="23" s="1"/>
  <c r="A223" i="23" s="1"/>
  <c r="A224" i="23" s="1"/>
  <c r="A225" i="23" s="1"/>
  <c r="A226" i="23" s="1"/>
  <c r="A227" i="23" s="1"/>
  <c r="A228" i="23" s="1"/>
  <c r="A229" i="23" s="1"/>
  <c r="A230" i="23" s="1"/>
  <c r="A231" i="23" s="1"/>
  <c r="A232" i="23" s="1"/>
  <c r="A233" i="23" s="1"/>
  <c r="A234" i="23" s="1"/>
  <c r="A235" i="23" s="1"/>
  <c r="A236" i="23" s="1"/>
  <c r="A237" i="23" s="1"/>
  <c r="A238" i="23" s="1"/>
  <c r="A239" i="23" s="1"/>
  <c r="A240" i="23" s="1"/>
  <c r="A241" i="23" s="1"/>
  <c r="A242" i="23" s="1"/>
  <c r="A243" i="23" s="1"/>
  <c r="A244" i="23" s="1"/>
  <c r="A245" i="23" s="1"/>
  <c r="A246" i="23" s="1"/>
  <c r="A247" i="23" s="1"/>
  <c r="A248" i="23" s="1"/>
  <c r="A249" i="23" s="1"/>
  <c r="A250" i="23" s="1"/>
  <c r="A251" i="23" s="1"/>
  <c r="A252" i="23" s="1"/>
  <c r="A253" i="23" s="1"/>
  <c r="A254" i="23" s="1"/>
  <c r="A255" i="23" s="1"/>
  <c r="A256" i="23" s="1"/>
  <c r="A257" i="23" s="1"/>
  <c r="A258" i="23" s="1"/>
  <c r="A259" i="23" s="1"/>
  <c r="A260" i="23" s="1"/>
  <c r="A261" i="23" s="1"/>
  <c r="A262" i="23" s="1"/>
  <c r="A263" i="23" s="1"/>
  <c r="A264" i="23" s="1"/>
  <c r="A265" i="23" s="1"/>
  <c r="A266" i="23" s="1"/>
  <c r="A267" i="23" s="1"/>
  <c r="A268" i="23" s="1"/>
  <c r="A269" i="23" s="1"/>
  <c r="A270" i="23" s="1"/>
  <c r="A271" i="23" s="1"/>
  <c r="A272" i="23" s="1"/>
  <c r="A273" i="23" s="1"/>
  <c r="A274" i="23" s="1"/>
  <c r="A275" i="23" s="1"/>
  <c r="A276" i="23" s="1"/>
  <c r="A277" i="23" s="1"/>
  <c r="A278" i="23" s="1"/>
  <c r="A279" i="23" s="1"/>
  <c r="A280" i="23" s="1"/>
  <c r="A281" i="23" s="1"/>
  <c r="A282" i="23" s="1"/>
  <c r="A283" i="23" s="1"/>
  <c r="A284" i="23" s="1"/>
  <c r="A285" i="23" s="1"/>
  <c r="A286" i="23" s="1"/>
  <c r="A287" i="23" s="1"/>
  <c r="A288" i="23" s="1"/>
  <c r="A289" i="23" s="1"/>
  <c r="A290" i="23" s="1"/>
  <c r="A291" i="23" s="1"/>
  <c r="A292" i="23" s="1"/>
  <c r="A293" i="23" s="1"/>
  <c r="A294" i="23" s="1"/>
  <c r="A295" i="23" s="1"/>
  <c r="A296" i="23" s="1"/>
  <c r="A297" i="23" s="1"/>
  <c r="A298" i="23" s="1"/>
  <c r="A299" i="23" s="1"/>
  <c r="A300" i="23" s="1"/>
  <c r="A301" i="23" s="1"/>
  <c r="A302" i="23" s="1"/>
  <c r="A303" i="23" s="1"/>
  <c r="A304" i="23" s="1"/>
  <c r="A305" i="23" s="1"/>
  <c r="A306" i="23" s="1"/>
  <c r="A307" i="23" s="1"/>
  <c r="A308" i="23" s="1"/>
  <c r="A309" i="23" s="1"/>
  <c r="A310" i="23" s="1"/>
  <c r="A311" i="23" s="1"/>
  <c r="A312" i="23" s="1"/>
  <c r="A313" i="23" s="1"/>
  <c r="A314" i="23" s="1"/>
  <c r="A315" i="23" s="1"/>
  <c r="A316" i="23" s="1"/>
  <c r="A317" i="23" s="1"/>
  <c r="A318" i="23" s="1"/>
  <c r="A319" i="23" s="1"/>
  <c r="A320" i="23" s="1"/>
  <c r="A321" i="23" s="1"/>
  <c r="A322" i="23" s="1"/>
  <c r="A323" i="23" s="1"/>
  <c r="A324" i="23" s="1"/>
  <c r="A325" i="23" s="1"/>
  <c r="A326" i="23" s="1"/>
  <c r="A327" i="23" s="1"/>
  <c r="A328" i="23" s="1"/>
  <c r="A329" i="23" s="1"/>
  <c r="A330" i="23" s="1"/>
  <c r="A331" i="23" s="1"/>
  <c r="A332" i="23" s="1"/>
  <c r="A333" i="23" s="1"/>
  <c r="A334" i="23" s="1"/>
  <c r="A335" i="23" s="1"/>
  <c r="A336" i="23" s="1"/>
  <c r="A337" i="23" s="1"/>
  <c r="A338" i="23" s="1"/>
  <c r="A339" i="23" s="1"/>
  <c r="A340" i="23" s="1"/>
  <c r="A341" i="23" s="1"/>
  <c r="A342" i="23" s="1"/>
  <c r="A343" i="23" s="1"/>
  <c r="A344" i="23" s="1"/>
  <c r="A345" i="23" s="1"/>
  <c r="A346" i="23" s="1"/>
  <c r="A347" i="23" s="1"/>
  <c r="A348" i="23" s="1"/>
  <c r="A349" i="23" s="1"/>
  <c r="A350" i="23" s="1"/>
  <c r="A351" i="23" s="1"/>
  <c r="A352" i="23" s="1"/>
  <c r="A353" i="23" s="1"/>
  <c r="A354" i="23" s="1"/>
  <c r="A355" i="23" s="1"/>
  <c r="A356" i="23" s="1"/>
  <c r="A357" i="23" s="1"/>
  <c r="A358" i="23" s="1"/>
  <c r="A359" i="23" s="1"/>
  <c r="A360" i="23" s="1"/>
  <c r="A361" i="23" s="1"/>
  <c r="A362" i="23" s="1"/>
  <c r="A363" i="23" s="1"/>
  <c r="A364" i="23" s="1"/>
  <c r="A365" i="23" s="1"/>
  <c r="A366" i="23" s="1"/>
  <c r="A367" i="23" s="1"/>
  <c r="A368" i="23" s="1"/>
  <c r="A369" i="23" s="1"/>
  <c r="A370" i="23" s="1"/>
  <c r="A371" i="23" s="1"/>
  <c r="A372" i="23" s="1"/>
  <c r="A373" i="23" s="1"/>
  <c r="A374" i="23" s="1"/>
  <c r="A375" i="23" s="1"/>
  <c r="A376" i="23" s="1"/>
  <c r="A377" i="23" s="1"/>
  <c r="A378" i="23" s="1"/>
  <c r="A379" i="23" s="1"/>
  <c r="A380" i="23" s="1"/>
  <c r="A381" i="23" s="1"/>
  <c r="A382" i="23" s="1"/>
  <c r="A383" i="23" s="1"/>
  <c r="A384" i="23" s="1"/>
  <c r="A385" i="23" s="1"/>
  <c r="A386" i="23" s="1"/>
  <c r="A387" i="23" s="1"/>
  <c r="A388" i="23" s="1"/>
  <c r="A389" i="23" s="1"/>
  <c r="A390" i="23" s="1"/>
  <c r="A391" i="23" s="1"/>
  <c r="A392" i="23" s="1"/>
  <c r="A393" i="23" s="1"/>
  <c r="A394" i="23" s="1"/>
  <c r="A395" i="23" s="1"/>
  <c r="A396" i="23" s="1"/>
  <c r="A397" i="23" s="1"/>
  <c r="A398" i="23" s="1"/>
  <c r="A399" i="23" s="1"/>
  <c r="A400" i="23" s="1"/>
  <c r="A401" i="23" s="1"/>
  <c r="A402" i="23" s="1"/>
  <c r="A403" i="23" s="1"/>
  <c r="A404" i="23" s="1"/>
  <c r="A405" i="23" s="1"/>
  <c r="A406" i="23" s="1"/>
  <c r="A407" i="23" s="1"/>
  <c r="A408" i="23" s="1"/>
  <c r="A409" i="23" s="1"/>
  <c r="A410" i="23" s="1"/>
  <c r="A411" i="23" s="1"/>
  <c r="A412" i="23" s="1"/>
  <c r="A413" i="23" s="1"/>
  <c r="A414" i="23" s="1"/>
  <c r="A415" i="23" s="1"/>
  <c r="A416" i="23" s="1"/>
  <c r="A417" i="23" s="1"/>
  <c r="A418" i="23" s="1"/>
  <c r="A419" i="23" s="1"/>
  <c r="A420" i="23" s="1"/>
  <c r="A421" i="23" s="1"/>
  <c r="A422" i="23" s="1"/>
  <c r="A423" i="23" s="1"/>
  <c r="A424" i="23" s="1"/>
  <c r="A425" i="23" s="1"/>
  <c r="A426" i="23" s="1"/>
  <c r="A427" i="23" s="1"/>
  <c r="A428" i="23" s="1"/>
  <c r="A429" i="23" s="1"/>
  <c r="A430" i="23" s="1"/>
  <c r="A431" i="23" s="1"/>
  <c r="A432" i="23" s="1"/>
  <c r="A433" i="23" s="1"/>
  <c r="A434" i="23" s="1"/>
  <c r="BN52" i="21"/>
  <c r="BM52" i="21"/>
  <c r="CL53" i="21"/>
  <c r="CM53" i="21"/>
  <c r="BX52" i="21"/>
  <c r="BW54" i="21"/>
  <c r="CR54" i="21" s="1"/>
  <c r="CC53" i="21"/>
  <c r="BZ53" i="21"/>
  <c r="CB53" i="21"/>
  <c r="CA53" i="21"/>
  <c r="BL52" i="21"/>
  <c r="BK52" i="21"/>
  <c r="BJ52" i="21"/>
  <c r="BA51" i="21"/>
  <c r="BS52" i="21"/>
  <c r="BO52" i="21"/>
  <c r="BF52" i="21"/>
  <c r="BR52" i="21"/>
  <c r="BI52" i="21"/>
  <c r="BE52" i="21"/>
  <c r="BU52" i="21"/>
  <c r="BQ52" i="21"/>
  <c r="BH52" i="21"/>
  <c r="BD52" i="21"/>
  <c r="BC52" i="21"/>
  <c r="BT52" i="21"/>
  <c r="BP52" i="21"/>
  <c r="BG52" i="21"/>
  <c r="AZ53" i="21"/>
  <c r="O36" i="5"/>
  <c r="O73" i="5" s="1"/>
  <c r="O110" i="5" s="1"/>
  <c r="I151" i="5"/>
  <c r="J150" i="5"/>
  <c r="N111" i="5"/>
  <c r="N112" i="5"/>
  <c r="N113" i="5"/>
  <c r="N114" i="5"/>
  <c r="N115" i="5"/>
  <c r="N116" i="5"/>
  <c r="N117" i="5"/>
  <c r="N118" i="5"/>
  <c r="N119" i="5"/>
  <c r="N120" i="5"/>
  <c r="N121" i="5"/>
  <c r="N122" i="5"/>
  <c r="N123" i="5"/>
  <c r="N124" i="5"/>
  <c r="N125" i="5"/>
  <c r="N126" i="5"/>
  <c r="P35" i="5"/>
  <c r="O72" i="5"/>
  <c r="N109" i="5"/>
  <c r="K127" i="5"/>
  <c r="H127" i="5"/>
  <c r="N127" i="5"/>
  <c r="L127" i="5"/>
  <c r="E127" i="5"/>
  <c r="I127" i="5"/>
  <c r="J127" i="5"/>
  <c r="F127" i="5"/>
  <c r="G127" i="5"/>
  <c r="M127" i="5"/>
  <c r="D92" i="5"/>
  <c r="D56" i="5"/>
  <c r="N34" i="10"/>
  <c r="W34" i="10" s="1"/>
  <c r="N33" i="10"/>
  <c r="N32" i="10"/>
  <c r="W32" i="10" s="1"/>
  <c r="N31" i="10"/>
  <c r="W31" i="10" s="1"/>
  <c r="N30" i="10"/>
  <c r="W30" i="10" s="1"/>
  <c r="N29" i="10"/>
  <c r="X29" i="10" s="1"/>
  <c r="N28" i="10"/>
  <c r="U28" i="10" s="1"/>
  <c r="N27" i="10"/>
  <c r="W27" i="10" s="1"/>
  <c r="N26" i="10"/>
  <c r="W26" i="10" s="1"/>
  <c r="N25" i="10"/>
  <c r="N24" i="10"/>
  <c r="X24" i="10" s="1"/>
  <c r="N23" i="10"/>
  <c r="U23" i="10" s="1"/>
  <c r="N22" i="10"/>
  <c r="W22" i="10" s="1"/>
  <c r="N21" i="10"/>
  <c r="W21" i="10" s="1"/>
  <c r="N20" i="10"/>
  <c r="W20" i="10" s="1"/>
  <c r="N19" i="10"/>
  <c r="W19" i="10" s="1"/>
  <c r="N18" i="10"/>
  <c r="X18" i="10" s="1"/>
  <c r="N17" i="10"/>
  <c r="X17" i="10" s="1"/>
  <c r="N36" i="10"/>
  <c r="X36" i="10" s="1"/>
  <c r="U35" i="10"/>
  <c r="U25" i="10"/>
  <c r="W58" i="10"/>
  <c r="W57" i="10"/>
  <c r="W56" i="10"/>
  <c r="W55" i="10"/>
  <c r="W54" i="10"/>
  <c r="W53" i="10"/>
  <c r="W52" i="10"/>
  <c r="W51" i="10"/>
  <c r="W50" i="10"/>
  <c r="W49" i="10"/>
  <c r="W48" i="10"/>
  <c r="W47" i="10"/>
  <c r="W46" i="10"/>
  <c r="W45" i="10"/>
  <c r="W44" i="10"/>
  <c r="W43" i="10"/>
  <c r="W42" i="10"/>
  <c r="W41" i="10"/>
  <c r="W40" i="10"/>
  <c r="W39" i="10"/>
  <c r="W38" i="10"/>
  <c r="W35" i="10"/>
  <c r="X58" i="10"/>
  <c r="V58" i="10"/>
  <c r="U58" i="10"/>
  <c r="L58" i="10"/>
  <c r="K58" i="10"/>
  <c r="J58" i="10"/>
  <c r="I58" i="10"/>
  <c r="X57" i="10"/>
  <c r="V57" i="10"/>
  <c r="U57" i="10"/>
  <c r="L57" i="10"/>
  <c r="K57" i="10"/>
  <c r="J57" i="10"/>
  <c r="I57" i="10"/>
  <c r="X56" i="10"/>
  <c r="V56" i="10"/>
  <c r="U56" i="10"/>
  <c r="L56" i="10"/>
  <c r="K56" i="10"/>
  <c r="J56" i="10"/>
  <c r="I56" i="10"/>
  <c r="X55" i="10"/>
  <c r="V55" i="10"/>
  <c r="U55" i="10"/>
  <c r="L55" i="10"/>
  <c r="K55" i="10"/>
  <c r="J55" i="10"/>
  <c r="I55" i="10"/>
  <c r="X54" i="10"/>
  <c r="V54" i="10"/>
  <c r="U54" i="10"/>
  <c r="L54" i="10"/>
  <c r="K54" i="10"/>
  <c r="J54" i="10"/>
  <c r="I54" i="10"/>
  <c r="X53" i="10"/>
  <c r="V53" i="10"/>
  <c r="U53" i="10"/>
  <c r="L53" i="10"/>
  <c r="K53" i="10"/>
  <c r="J53" i="10"/>
  <c r="I53" i="10"/>
  <c r="X52" i="10"/>
  <c r="V52" i="10"/>
  <c r="U52" i="10"/>
  <c r="L52" i="10"/>
  <c r="K52" i="10"/>
  <c r="J52" i="10"/>
  <c r="I52" i="10"/>
  <c r="X51" i="10"/>
  <c r="V51" i="10"/>
  <c r="U51" i="10"/>
  <c r="L51" i="10"/>
  <c r="K51" i="10"/>
  <c r="J51" i="10"/>
  <c r="I51" i="10"/>
  <c r="X50" i="10"/>
  <c r="V50" i="10"/>
  <c r="U50" i="10"/>
  <c r="L50" i="10"/>
  <c r="K50" i="10"/>
  <c r="J50" i="10"/>
  <c r="I50" i="10"/>
  <c r="X49" i="10"/>
  <c r="V49" i="10"/>
  <c r="U49" i="10"/>
  <c r="L49" i="10"/>
  <c r="K49" i="10"/>
  <c r="J49" i="10"/>
  <c r="I49" i="10"/>
  <c r="X48" i="10"/>
  <c r="V48" i="10"/>
  <c r="U48" i="10"/>
  <c r="L48" i="10"/>
  <c r="K48" i="10"/>
  <c r="J48" i="10"/>
  <c r="I48" i="10"/>
  <c r="X47" i="10"/>
  <c r="V47" i="10"/>
  <c r="U47" i="10"/>
  <c r="L47" i="10"/>
  <c r="K47" i="10"/>
  <c r="J47" i="10"/>
  <c r="I47" i="10"/>
  <c r="X46" i="10"/>
  <c r="V46" i="10"/>
  <c r="U46" i="10"/>
  <c r="L46" i="10"/>
  <c r="K46" i="10"/>
  <c r="J46" i="10"/>
  <c r="I46" i="10"/>
  <c r="X45" i="10"/>
  <c r="V45" i="10"/>
  <c r="U45" i="10"/>
  <c r="L45" i="10"/>
  <c r="K45" i="10"/>
  <c r="J45" i="10"/>
  <c r="I45" i="10"/>
  <c r="X44" i="10"/>
  <c r="V44" i="10"/>
  <c r="U44" i="10"/>
  <c r="L44" i="10"/>
  <c r="K44" i="10"/>
  <c r="J44" i="10"/>
  <c r="I44" i="10"/>
  <c r="X43" i="10"/>
  <c r="V43" i="10"/>
  <c r="U43" i="10"/>
  <c r="L43" i="10"/>
  <c r="K43" i="10"/>
  <c r="J43" i="10"/>
  <c r="I43" i="10"/>
  <c r="X42" i="10"/>
  <c r="V42" i="10"/>
  <c r="U42" i="10"/>
  <c r="L42" i="10"/>
  <c r="K42" i="10"/>
  <c r="J42" i="10"/>
  <c r="I42" i="10"/>
  <c r="X41" i="10"/>
  <c r="V41" i="10"/>
  <c r="U41" i="10"/>
  <c r="L41" i="10"/>
  <c r="K41" i="10"/>
  <c r="J41" i="10"/>
  <c r="I41" i="10"/>
  <c r="X40" i="10"/>
  <c r="V40" i="10"/>
  <c r="U40" i="10"/>
  <c r="L40" i="10"/>
  <c r="K40" i="10"/>
  <c r="J40" i="10"/>
  <c r="I40" i="10"/>
  <c r="X39" i="10"/>
  <c r="V39" i="10"/>
  <c r="U39" i="10"/>
  <c r="V18" i="10"/>
  <c r="V19" i="10"/>
  <c r="V20" i="10"/>
  <c r="V21" i="10"/>
  <c r="V22" i="10"/>
  <c r="V23" i="10"/>
  <c r="V24" i="10"/>
  <c r="V25" i="10"/>
  <c r="V26" i="10"/>
  <c r="V27" i="10"/>
  <c r="V28" i="10"/>
  <c r="V29" i="10"/>
  <c r="V30" i="10"/>
  <c r="V31" i="10"/>
  <c r="V32" i="10"/>
  <c r="V33" i="10"/>
  <c r="V34" i="10"/>
  <c r="V35" i="10"/>
  <c r="V36" i="10"/>
  <c r="V17" i="10"/>
  <c r="X35" i="10"/>
  <c r="A1" i="10"/>
  <c r="S37" i="10"/>
  <c r="P40" i="5"/>
  <c r="O77" i="5"/>
  <c r="N55" i="5"/>
  <c r="O80" i="5"/>
  <c r="P168" i="5"/>
  <c r="O79" i="5"/>
  <c r="M91" i="5"/>
  <c r="P49" i="5"/>
  <c r="F91" i="5"/>
  <c r="P55" i="5"/>
  <c r="P164" i="5"/>
  <c r="O78" i="5"/>
  <c r="P156" i="5"/>
  <c r="O88" i="5"/>
  <c r="O91" i="5"/>
  <c r="P50" i="5"/>
  <c r="P153" i="5"/>
  <c r="P166" i="5"/>
  <c r="O82" i="5"/>
  <c r="P167" i="5"/>
  <c r="P155" i="5"/>
  <c r="P39" i="5"/>
  <c r="H91" i="5"/>
  <c r="P160" i="5"/>
  <c r="P178" i="5"/>
  <c r="P161" i="5"/>
  <c r="K55" i="5"/>
  <c r="F55" i="5"/>
  <c r="K91" i="5"/>
  <c r="L91" i="5"/>
  <c r="P37" i="5"/>
  <c r="P54" i="5"/>
  <c r="O75" i="5"/>
  <c r="P179" i="5"/>
  <c r="P183" i="5"/>
  <c r="P172" i="5"/>
  <c r="I55" i="5"/>
  <c r="O76" i="5"/>
  <c r="O74" i="5"/>
  <c r="P174" i="5"/>
  <c r="P170" i="5"/>
  <c r="P47" i="5"/>
  <c r="P154" i="5"/>
  <c r="O87" i="5"/>
  <c r="P171" i="5"/>
  <c r="J55" i="5"/>
  <c r="O83" i="5"/>
  <c r="P53" i="5"/>
  <c r="I91" i="5"/>
  <c r="P169" i="5"/>
  <c r="P182" i="5"/>
  <c r="P42" i="5"/>
  <c r="H55" i="5"/>
  <c r="O55" i="5"/>
  <c r="P159" i="5"/>
  <c r="P38" i="5"/>
  <c r="G55" i="5"/>
  <c r="P45" i="5"/>
  <c r="P52" i="5"/>
  <c r="P51" i="5"/>
  <c r="P157" i="5"/>
  <c r="P41" i="5"/>
  <c r="P173" i="5"/>
  <c r="P48" i="5"/>
  <c r="O81" i="5"/>
  <c r="O86" i="5"/>
  <c r="O90" i="5"/>
  <c r="P44" i="5"/>
  <c r="J91" i="5"/>
  <c r="P162" i="5"/>
  <c r="P180" i="5"/>
  <c r="L55" i="5"/>
  <c r="N91" i="5"/>
  <c r="P175" i="5"/>
  <c r="E91" i="5"/>
  <c r="P43" i="5"/>
  <c r="M55" i="5"/>
  <c r="P181" i="5"/>
  <c r="P163" i="5"/>
  <c r="P165" i="5"/>
  <c r="P152" i="5"/>
  <c r="P176" i="5"/>
  <c r="P158" i="5"/>
  <c r="P177" i="5"/>
  <c r="G91" i="5"/>
  <c r="E55" i="5"/>
  <c r="P46" i="5"/>
  <c r="O84" i="5"/>
  <c r="O85" i="5"/>
  <c r="O89" i="5"/>
  <c r="W24" i="10" l="1"/>
  <c r="Z9" i="10"/>
  <c r="Y9" i="10"/>
  <c r="AA9" i="10" s="1"/>
  <c r="Z8" i="10"/>
  <c r="Y8" i="10"/>
  <c r="AA8" i="10" s="1"/>
  <c r="BN53" i="21"/>
  <c r="BM53" i="21"/>
  <c r="BX53" i="21"/>
  <c r="CL54" i="21"/>
  <c r="CM54" i="21"/>
  <c r="CC54" i="21"/>
  <c r="BZ54" i="21"/>
  <c r="CB54" i="21"/>
  <c r="CA54" i="21"/>
  <c r="BK53" i="21"/>
  <c r="BJ53" i="21"/>
  <c r="BL53" i="21"/>
  <c r="BA52" i="21"/>
  <c r="BU53" i="21"/>
  <c r="BQ53" i="21"/>
  <c r="BH53" i="21"/>
  <c r="BD53" i="21"/>
  <c r="BT53" i="21"/>
  <c r="BP53" i="21"/>
  <c r="BG53" i="21"/>
  <c r="BC53" i="21"/>
  <c r="BS53" i="21"/>
  <c r="BO53" i="21"/>
  <c r="BF53" i="21"/>
  <c r="BE53" i="21"/>
  <c r="BR53" i="21"/>
  <c r="BI53" i="21"/>
  <c r="AZ54" i="21"/>
  <c r="P36" i="5"/>
  <c r="P73" i="5" s="1"/>
  <c r="P110" i="5" s="1"/>
  <c r="J151" i="5"/>
  <c r="K150" i="5"/>
  <c r="O111" i="5"/>
  <c r="O112" i="5"/>
  <c r="O113" i="5"/>
  <c r="O114" i="5"/>
  <c r="O115" i="5"/>
  <c r="O116" i="5"/>
  <c r="O117" i="5"/>
  <c r="O118" i="5"/>
  <c r="O119" i="5"/>
  <c r="O120" i="5"/>
  <c r="O121" i="5"/>
  <c r="O122" i="5"/>
  <c r="O123" i="5"/>
  <c r="O124" i="5"/>
  <c r="O125" i="5"/>
  <c r="O126" i="5"/>
  <c r="O127" i="5"/>
  <c r="O109" i="5"/>
  <c r="Q35" i="5"/>
  <c r="P72" i="5"/>
  <c r="F128" i="5"/>
  <c r="J128" i="5"/>
  <c r="G128" i="5"/>
  <c r="I128" i="5"/>
  <c r="M128" i="5"/>
  <c r="N128" i="5"/>
  <c r="K128" i="5"/>
  <c r="H128" i="5"/>
  <c r="E128" i="5"/>
  <c r="O128" i="5"/>
  <c r="L128" i="5"/>
  <c r="D93" i="5"/>
  <c r="D57" i="5"/>
  <c r="Z7" i="10"/>
  <c r="Y7" i="10"/>
  <c r="AA7" i="10" s="1"/>
  <c r="Z6" i="10"/>
  <c r="Y6" i="10"/>
  <c r="AA6" i="10" s="1"/>
  <c r="Z5" i="10"/>
  <c r="Y5" i="10"/>
  <c r="AA5" i="10" s="1"/>
  <c r="Z4" i="10"/>
  <c r="Y4" i="10"/>
  <c r="AA4" i="10" s="1"/>
  <c r="Z3" i="10"/>
  <c r="Y3" i="10"/>
  <c r="AA3" i="10" s="1"/>
  <c r="Z2" i="10"/>
  <c r="Y2" i="10"/>
  <c r="AA2" i="10" s="1"/>
  <c r="U32" i="10"/>
  <c r="U24" i="10"/>
  <c r="X20" i="10"/>
  <c r="X27" i="10"/>
  <c r="U36" i="10"/>
  <c r="W28" i="10"/>
  <c r="Z18" i="10"/>
  <c r="Z22" i="10"/>
  <c r="Z26" i="10"/>
  <c r="Z30" i="10"/>
  <c r="Z34" i="10"/>
  <c r="Z42" i="10"/>
  <c r="Z46" i="10"/>
  <c r="Z50" i="10"/>
  <c r="Z54" i="10"/>
  <c r="Z58" i="10"/>
  <c r="Z29" i="10"/>
  <c r="Z45" i="10"/>
  <c r="Z57" i="10"/>
  <c r="Z19" i="10"/>
  <c r="Z23" i="10"/>
  <c r="Z27" i="10"/>
  <c r="Z31" i="10"/>
  <c r="Z35" i="10"/>
  <c r="Z39" i="10"/>
  <c r="Z43" i="10"/>
  <c r="Z47" i="10"/>
  <c r="Z51" i="10"/>
  <c r="Z55" i="10"/>
  <c r="Z33" i="10"/>
  <c r="Z37" i="10"/>
  <c r="Z49" i="10"/>
  <c r="Z20" i="10"/>
  <c r="Z24" i="10"/>
  <c r="Z28" i="10"/>
  <c r="Z32" i="10"/>
  <c r="Z36" i="10"/>
  <c r="Z40" i="10"/>
  <c r="Z44" i="10"/>
  <c r="Z48" i="10"/>
  <c r="Z52" i="10"/>
  <c r="Z56" i="10"/>
  <c r="Z21" i="10"/>
  <c r="Z25" i="10"/>
  <c r="Z41" i="10"/>
  <c r="Z53" i="10"/>
  <c r="Y18" i="10"/>
  <c r="AA18" i="10" s="1"/>
  <c r="Z17" i="10"/>
  <c r="W18" i="10"/>
  <c r="W36" i="10"/>
  <c r="U27" i="10"/>
  <c r="X23" i="10"/>
  <c r="X31" i="10"/>
  <c r="U19" i="10"/>
  <c r="U31" i="10"/>
  <c r="X19" i="10"/>
  <c r="W23" i="10"/>
  <c r="W33" i="10"/>
  <c r="U33" i="10"/>
  <c r="X28" i="10"/>
  <c r="X32" i="10"/>
  <c r="U20" i="10"/>
  <c r="U29" i="10"/>
  <c r="X25" i="10"/>
  <c r="X21" i="10"/>
  <c r="U21" i="10"/>
  <c r="X22" i="10"/>
  <c r="U22" i="10"/>
  <c r="U26" i="10"/>
  <c r="U30" i="10"/>
  <c r="U34" i="10"/>
  <c r="X30" i="10"/>
  <c r="X26" i="10"/>
  <c r="U18" i="10"/>
  <c r="X33" i="10"/>
  <c r="W25" i="10"/>
  <c r="W29" i="10"/>
  <c r="X34" i="10"/>
  <c r="U17" i="10"/>
  <c r="W17" i="10"/>
  <c r="V37" i="10"/>
  <c r="Y45" i="10"/>
  <c r="AA45" i="10" s="1"/>
  <c r="Y47" i="10"/>
  <c r="AA47" i="10" s="1"/>
  <c r="Y49" i="10"/>
  <c r="AA49" i="10" s="1"/>
  <c r="Y51" i="10"/>
  <c r="AA51" i="10" s="1"/>
  <c r="Y53" i="10"/>
  <c r="AA53" i="10" s="1"/>
  <c r="Y55" i="10"/>
  <c r="AA55" i="10" s="1"/>
  <c r="Y57" i="10"/>
  <c r="AA57" i="10" s="1"/>
  <c r="Y41" i="10"/>
  <c r="AA41" i="10" s="1"/>
  <c r="J39" i="10"/>
  <c r="I39" i="10"/>
  <c r="L39" i="10"/>
  <c r="K39" i="10"/>
  <c r="Y42" i="10"/>
  <c r="AA42" i="10" s="1"/>
  <c r="Y39" i="10"/>
  <c r="AA39" i="10" s="1"/>
  <c r="Y43" i="10"/>
  <c r="AA43" i="10" s="1"/>
  <c r="Y46" i="10"/>
  <c r="AA46" i="10" s="1"/>
  <c r="Y48" i="10"/>
  <c r="AA48" i="10" s="1"/>
  <c r="Y50" i="10"/>
  <c r="AA50" i="10" s="1"/>
  <c r="Y52" i="10"/>
  <c r="AA52" i="10" s="1"/>
  <c r="Y54" i="10"/>
  <c r="AA54" i="10" s="1"/>
  <c r="Y56" i="10"/>
  <c r="AA56" i="10" s="1"/>
  <c r="Y58" i="10"/>
  <c r="AA58" i="10" s="1"/>
  <c r="Y40" i="10"/>
  <c r="AA40" i="10" s="1"/>
  <c r="Y44" i="10"/>
  <c r="AA44" i="10" s="1"/>
  <c r="Y37" i="10"/>
  <c r="Y36" i="10"/>
  <c r="AA36" i="10" s="1"/>
  <c r="Y33" i="10"/>
  <c r="Y25" i="10"/>
  <c r="Y17" i="10"/>
  <c r="Y32" i="10"/>
  <c r="Y20" i="10"/>
  <c r="Y21" i="10"/>
  <c r="Y24" i="10"/>
  <c r="AA24" i="10" s="1"/>
  <c r="Y35" i="10"/>
  <c r="AA35" i="10" s="1"/>
  <c r="Y31" i="10"/>
  <c r="Y27" i="10"/>
  <c r="Y23" i="10"/>
  <c r="Y19" i="10"/>
  <c r="Y29" i="10"/>
  <c r="AA29" i="10" s="1"/>
  <c r="Y28" i="10"/>
  <c r="Y34" i="10"/>
  <c r="Y30" i="10"/>
  <c r="Y26" i="10"/>
  <c r="Y22" i="10"/>
  <c r="I17" i="10"/>
  <c r="J17" i="10"/>
  <c r="L17" i="10"/>
  <c r="K17" i="10"/>
  <c r="I18" i="10"/>
  <c r="L18" i="10"/>
  <c r="K18" i="10"/>
  <c r="J18" i="10"/>
  <c r="I22" i="10"/>
  <c r="L22" i="10"/>
  <c r="K22" i="10"/>
  <c r="J22" i="10"/>
  <c r="I29" i="10"/>
  <c r="L29" i="10"/>
  <c r="K29" i="10"/>
  <c r="J29" i="10"/>
  <c r="I25" i="10"/>
  <c r="L25" i="10"/>
  <c r="K25" i="10"/>
  <c r="J25" i="10"/>
  <c r="I30" i="10"/>
  <c r="L30" i="10"/>
  <c r="K30" i="10"/>
  <c r="J30" i="10"/>
  <c r="I28" i="10"/>
  <c r="L28" i="10"/>
  <c r="K28" i="10"/>
  <c r="J28" i="10"/>
  <c r="I24" i="10"/>
  <c r="L24" i="10"/>
  <c r="K24" i="10"/>
  <c r="J24" i="10"/>
  <c r="I20" i="10"/>
  <c r="L20" i="10"/>
  <c r="K20" i="10"/>
  <c r="J20" i="10"/>
  <c r="I26" i="10"/>
  <c r="L26" i="10"/>
  <c r="K26" i="10"/>
  <c r="J26" i="10"/>
  <c r="I31" i="10"/>
  <c r="L31" i="10"/>
  <c r="K31" i="10"/>
  <c r="J31" i="10"/>
  <c r="I27" i="10"/>
  <c r="L27" i="10"/>
  <c r="K27" i="10"/>
  <c r="J27" i="10"/>
  <c r="I23" i="10"/>
  <c r="J23" i="10"/>
  <c r="L23" i="10"/>
  <c r="K23" i="10"/>
  <c r="I19" i="10"/>
  <c r="J19" i="10"/>
  <c r="L19" i="10"/>
  <c r="K19" i="10"/>
  <c r="I35" i="10"/>
  <c r="L35" i="10"/>
  <c r="K35" i="10"/>
  <c r="J35" i="10"/>
  <c r="I33" i="10"/>
  <c r="L33" i="10"/>
  <c r="K33" i="10"/>
  <c r="J33" i="10"/>
  <c r="I34" i="10"/>
  <c r="L34" i="10"/>
  <c r="K34" i="10"/>
  <c r="J34" i="10"/>
  <c r="I32" i="10"/>
  <c r="L32" i="10"/>
  <c r="K32" i="10"/>
  <c r="J32" i="10"/>
  <c r="I36" i="10"/>
  <c r="L36" i="10"/>
  <c r="K36" i="10"/>
  <c r="J36" i="10"/>
  <c r="L21" i="10"/>
  <c r="K21" i="10"/>
  <c r="J21" i="10"/>
  <c r="I21" i="10"/>
  <c r="Z25" i="5"/>
  <c r="Z23" i="5"/>
  <c r="Z19" i="5"/>
  <c r="Z17" i="5"/>
  <c r="Z15" i="5"/>
  <c r="Z13" i="5"/>
  <c r="Z11" i="5"/>
  <c r="Z10" i="5"/>
  <c r="Z31" i="5" s="1"/>
  <c r="Z7" i="5"/>
  <c r="U25" i="5"/>
  <c r="U23" i="5"/>
  <c r="U19" i="5"/>
  <c r="U17" i="5"/>
  <c r="U15" i="5"/>
  <c r="U13" i="5"/>
  <c r="U10" i="5"/>
  <c r="H92" i="5"/>
  <c r="K56" i="5"/>
  <c r="Q40" i="5"/>
  <c r="Q157" i="5"/>
  <c r="Q154" i="5"/>
  <c r="Q37" i="5"/>
  <c r="Q171" i="5"/>
  <c r="Q165" i="5"/>
  <c r="P75" i="5"/>
  <c r="P78" i="5"/>
  <c r="P90" i="5"/>
  <c r="P92" i="5"/>
  <c r="Q164" i="5"/>
  <c r="G92" i="5"/>
  <c r="Q175" i="5"/>
  <c r="P77" i="5"/>
  <c r="Q50" i="5"/>
  <c r="F92" i="5"/>
  <c r="Q182" i="5"/>
  <c r="Q178" i="5"/>
  <c r="P88" i="5"/>
  <c r="Q53" i="5"/>
  <c r="Q174" i="5"/>
  <c r="N56" i="5"/>
  <c r="Q173" i="5"/>
  <c r="Q55" i="5"/>
  <c r="N92" i="5"/>
  <c r="Q159" i="5"/>
  <c r="O56" i="5"/>
  <c r="Q169" i="5"/>
  <c r="G56" i="5"/>
  <c r="P56" i="5"/>
  <c r="P83" i="5"/>
  <c r="Q166" i="5"/>
  <c r="I56" i="5"/>
  <c r="Q47" i="5"/>
  <c r="P85" i="5"/>
  <c r="Q161" i="5"/>
  <c r="L56" i="5"/>
  <c r="P81" i="5"/>
  <c r="Q43" i="5"/>
  <c r="Q177" i="5"/>
  <c r="P79" i="5"/>
  <c r="E56" i="5"/>
  <c r="P89" i="5"/>
  <c r="Q160" i="5"/>
  <c r="F56" i="5"/>
  <c r="Q51" i="5"/>
  <c r="Q56" i="5"/>
  <c r="K92" i="5"/>
  <c r="P86" i="5"/>
  <c r="Q181" i="5"/>
  <c r="Q52" i="5"/>
  <c r="Q38" i="5"/>
  <c r="Q39" i="5"/>
  <c r="Q176" i="5"/>
  <c r="Q41" i="5"/>
  <c r="P84" i="5"/>
  <c r="Q155" i="5"/>
  <c r="L92" i="5"/>
  <c r="O92" i="5"/>
  <c r="J56" i="5"/>
  <c r="P87" i="5"/>
  <c r="Q54" i="5"/>
  <c r="Q158" i="5"/>
  <c r="I92" i="5"/>
  <c r="P74" i="5"/>
  <c r="Q48" i="5"/>
  <c r="H56" i="5"/>
  <c r="Q163" i="5"/>
  <c r="Q183" i="5"/>
  <c r="Q152" i="5"/>
  <c r="Q156" i="5"/>
  <c r="Q180" i="5"/>
  <c r="E92" i="5"/>
  <c r="P80" i="5"/>
  <c r="Q167" i="5"/>
  <c r="Q153" i="5"/>
  <c r="P82" i="5"/>
  <c r="Q46" i="5"/>
  <c r="Q162" i="5"/>
  <c r="Q49" i="5"/>
  <c r="Q170" i="5"/>
  <c r="Q172" i="5"/>
  <c r="M56" i="5"/>
  <c r="Q45" i="5"/>
  <c r="Q168" i="5"/>
  <c r="M92" i="5"/>
  <c r="P76" i="5"/>
  <c r="J92" i="5"/>
  <c r="P91" i="5"/>
  <c r="Q44" i="5"/>
  <c r="Q179" i="5"/>
  <c r="Q42" i="5"/>
  <c r="AA20" i="10" l="1"/>
  <c r="BN54" i="21"/>
  <c r="BM54" i="21"/>
  <c r="AA30" i="10"/>
  <c r="AA19" i="10"/>
  <c r="BX54" i="21"/>
  <c r="BJ54" i="21"/>
  <c r="BL54" i="21"/>
  <c r="BK54" i="21"/>
  <c r="BA53" i="21"/>
  <c r="BS54" i="21"/>
  <c r="BO54" i="21"/>
  <c r="BF54" i="21"/>
  <c r="BR54" i="21"/>
  <c r="BI54" i="21"/>
  <c r="BE54" i="21"/>
  <c r="BU54" i="21"/>
  <c r="BQ54" i="21"/>
  <c r="BH54" i="21"/>
  <c r="BD54" i="21"/>
  <c r="BG54" i="21"/>
  <c r="BC54" i="21"/>
  <c r="BT54" i="21"/>
  <c r="BP54" i="21"/>
  <c r="Q36" i="5"/>
  <c r="Q73" i="5" s="1"/>
  <c r="Q110" i="5" s="1"/>
  <c r="L150" i="5"/>
  <c r="K151" i="5"/>
  <c r="P111" i="5"/>
  <c r="P112" i="5"/>
  <c r="P113" i="5"/>
  <c r="P114" i="5"/>
  <c r="P115" i="5"/>
  <c r="P116" i="5"/>
  <c r="P117" i="5"/>
  <c r="P118" i="5"/>
  <c r="P119" i="5"/>
  <c r="P120" i="5"/>
  <c r="P121" i="5"/>
  <c r="P122" i="5"/>
  <c r="P123" i="5"/>
  <c r="P124" i="5"/>
  <c r="P125" i="5"/>
  <c r="P126" i="5"/>
  <c r="P127" i="5"/>
  <c r="P128" i="5"/>
  <c r="Q72" i="5"/>
  <c r="R35" i="5"/>
  <c r="P109" i="5"/>
  <c r="P129" i="5"/>
  <c r="M129" i="5"/>
  <c r="F129" i="5"/>
  <c r="H129" i="5"/>
  <c r="L129" i="5"/>
  <c r="J129" i="5"/>
  <c r="G129" i="5"/>
  <c r="I129" i="5"/>
  <c r="O129" i="5"/>
  <c r="E129" i="5"/>
  <c r="N129" i="5"/>
  <c r="K129" i="5"/>
  <c r="D94" i="5"/>
  <c r="D58" i="5"/>
  <c r="U31" i="5"/>
  <c r="AA27" i="10"/>
  <c r="AA33" i="10"/>
  <c r="AA26" i="10"/>
  <c r="AA31" i="10"/>
  <c r="AA17" i="10"/>
  <c r="AA23" i="10"/>
  <c r="AA22" i="10"/>
  <c r="AA28" i="10"/>
  <c r="AA25" i="10"/>
  <c r="AA21" i="10"/>
  <c r="AA32" i="10"/>
  <c r="W37" i="10"/>
  <c r="U37" i="10"/>
  <c r="X37" i="10" s="1"/>
  <c r="AA37" i="10" s="1"/>
  <c r="AA34" i="10"/>
  <c r="Z29" i="5"/>
  <c r="Z30" i="5"/>
  <c r="Z27" i="5"/>
  <c r="U29" i="5"/>
  <c r="U30" i="5"/>
  <c r="U27" i="5"/>
  <c r="Q87" i="5"/>
  <c r="G57" i="5"/>
  <c r="M57" i="5"/>
  <c r="Q92" i="5"/>
  <c r="R38" i="5"/>
  <c r="L57" i="5"/>
  <c r="R173" i="5"/>
  <c r="R42" i="5"/>
  <c r="R48" i="5"/>
  <c r="R55" i="5"/>
  <c r="I93" i="5"/>
  <c r="R160" i="5"/>
  <c r="H93" i="5"/>
  <c r="G93" i="5"/>
  <c r="R37" i="5"/>
  <c r="Q77" i="5"/>
  <c r="R168" i="5"/>
  <c r="P57" i="5"/>
  <c r="R174" i="5"/>
  <c r="R39" i="5"/>
  <c r="R165" i="5"/>
  <c r="R175" i="5"/>
  <c r="R53" i="5"/>
  <c r="R167" i="5"/>
  <c r="R161" i="5"/>
  <c r="K57" i="5"/>
  <c r="R182" i="5"/>
  <c r="R57" i="5"/>
  <c r="R156" i="5"/>
  <c r="R50" i="5"/>
  <c r="R164" i="5"/>
  <c r="H57" i="5"/>
  <c r="Q86" i="5"/>
  <c r="F57" i="5"/>
  <c r="R169" i="5"/>
  <c r="R183" i="5"/>
  <c r="N57" i="5"/>
  <c r="J57" i="5"/>
  <c r="R178" i="5"/>
  <c r="Q89" i="5"/>
  <c r="Q88" i="5"/>
  <c r="R163" i="5"/>
  <c r="R176" i="5"/>
  <c r="Q84" i="5"/>
  <c r="Q78" i="5"/>
  <c r="R40" i="5"/>
  <c r="Q57" i="5"/>
  <c r="R158" i="5"/>
  <c r="R54" i="5"/>
  <c r="O93" i="5"/>
  <c r="E57" i="5"/>
  <c r="Q85" i="5"/>
  <c r="R177" i="5"/>
  <c r="R154" i="5"/>
  <c r="R41" i="5"/>
  <c r="R179" i="5"/>
  <c r="Q75" i="5"/>
  <c r="R56" i="5"/>
  <c r="R47" i="5"/>
  <c r="N93" i="5"/>
  <c r="Q74" i="5"/>
  <c r="Q82" i="5"/>
  <c r="R51" i="5"/>
  <c r="F93" i="5"/>
  <c r="R44" i="5"/>
  <c r="K93" i="5"/>
  <c r="M93" i="5"/>
  <c r="R180" i="5"/>
  <c r="R181" i="5"/>
  <c r="R153" i="5"/>
  <c r="J93" i="5"/>
  <c r="R152" i="5"/>
  <c r="R159" i="5"/>
  <c r="L93" i="5"/>
  <c r="R155" i="5"/>
  <c r="Q81" i="5"/>
  <c r="R49" i="5"/>
  <c r="Q93" i="5"/>
  <c r="R172" i="5"/>
  <c r="Q79" i="5"/>
  <c r="Q91" i="5"/>
  <c r="Q90" i="5"/>
  <c r="O57" i="5"/>
  <c r="R170" i="5"/>
  <c r="R52" i="5"/>
  <c r="Q80" i="5"/>
  <c r="I57" i="5"/>
  <c r="R45" i="5"/>
  <c r="R162" i="5"/>
  <c r="R43" i="5"/>
  <c r="Q83" i="5"/>
  <c r="R166" i="5"/>
  <c r="R171" i="5"/>
  <c r="R157" i="5"/>
  <c r="R46" i="5"/>
  <c r="Q76" i="5"/>
  <c r="E93" i="5"/>
  <c r="P93" i="5"/>
  <c r="BA54" i="21" l="1"/>
  <c r="R36" i="5"/>
  <c r="R73" i="5" s="1"/>
  <c r="R110" i="5" s="1"/>
  <c r="M150" i="5"/>
  <c r="L151" i="5"/>
  <c r="Q111" i="5"/>
  <c r="Q112" i="5"/>
  <c r="Q113" i="5"/>
  <c r="Q114" i="5"/>
  <c r="Q115" i="5"/>
  <c r="Q116" i="5"/>
  <c r="Q117" i="5"/>
  <c r="Q118" i="5"/>
  <c r="Q119" i="5"/>
  <c r="Q120" i="5"/>
  <c r="Q121" i="5"/>
  <c r="Q122" i="5"/>
  <c r="Q123" i="5"/>
  <c r="Q124" i="5"/>
  <c r="Q125" i="5"/>
  <c r="Q126" i="5"/>
  <c r="Q127" i="5"/>
  <c r="Q128" i="5"/>
  <c r="Q129" i="5"/>
  <c r="S35" i="5"/>
  <c r="R72" i="5"/>
  <c r="Q109" i="5"/>
  <c r="K130" i="5"/>
  <c r="L130" i="5"/>
  <c r="E130" i="5"/>
  <c r="N130" i="5"/>
  <c r="P130" i="5"/>
  <c r="I130" i="5"/>
  <c r="G130" i="5"/>
  <c r="M130" i="5"/>
  <c r="F130" i="5"/>
  <c r="O130" i="5"/>
  <c r="H130" i="5"/>
  <c r="Q130" i="5"/>
  <c r="J130" i="5"/>
  <c r="D95" i="5"/>
  <c r="D59" i="5"/>
  <c r="R27" i="5"/>
  <c r="Z28" i="5"/>
  <c r="AB27" i="5" s="1"/>
  <c r="AB6" i="5" s="1"/>
  <c r="AB7" i="5" s="1"/>
  <c r="U28" i="5"/>
  <c r="W27" i="5" s="1"/>
  <c r="W12" i="5" s="1"/>
  <c r="C4" i="6"/>
  <c r="K13" i="6"/>
  <c r="O13" i="6" s="1"/>
  <c r="K12" i="6"/>
  <c r="O12" i="6" s="1"/>
  <c r="K11" i="6"/>
  <c r="M11" i="6" s="1"/>
  <c r="N11" i="6" s="1"/>
  <c r="K10" i="6"/>
  <c r="M10" i="6" s="1"/>
  <c r="N10" i="6" s="1"/>
  <c r="K9" i="6"/>
  <c r="K8" i="6"/>
  <c r="O8" i="6" s="1"/>
  <c r="K7" i="6"/>
  <c r="M7" i="6" s="1"/>
  <c r="N7" i="6" s="1"/>
  <c r="R5" i="6"/>
  <c r="R7" i="6" s="1"/>
  <c r="R9" i="6" s="1"/>
  <c r="R11" i="6" s="1"/>
  <c r="R13" i="6" s="1"/>
  <c r="Q3" i="6"/>
  <c r="P3" i="6"/>
  <c r="P12" i="6" s="1"/>
  <c r="K6" i="6"/>
  <c r="O6" i="6" s="1"/>
  <c r="R6" i="6"/>
  <c r="R8" i="6" s="1"/>
  <c r="R10" i="6" s="1"/>
  <c r="R12" i="6" s="1"/>
  <c r="R89" i="5"/>
  <c r="R90" i="5"/>
  <c r="S170" i="5"/>
  <c r="S169" i="5"/>
  <c r="L94" i="5"/>
  <c r="F58" i="5"/>
  <c r="R91" i="5"/>
  <c r="S182" i="5"/>
  <c r="S171" i="5"/>
  <c r="R88" i="5"/>
  <c r="R77" i="5"/>
  <c r="N58" i="5"/>
  <c r="R80" i="5"/>
  <c r="S176" i="5"/>
  <c r="S155" i="5"/>
  <c r="S153" i="5"/>
  <c r="J58" i="5"/>
  <c r="K58" i="5"/>
  <c r="S51" i="5"/>
  <c r="E94" i="5"/>
  <c r="R92" i="5"/>
  <c r="R74" i="5"/>
  <c r="G58" i="5"/>
  <c r="S152" i="5"/>
  <c r="S177" i="5"/>
  <c r="J94" i="5"/>
  <c r="S154" i="5"/>
  <c r="R87" i="5"/>
  <c r="F94" i="5"/>
  <c r="R76" i="5"/>
  <c r="S56" i="5"/>
  <c r="S180" i="5"/>
  <c r="S163" i="5"/>
  <c r="N94" i="5"/>
  <c r="L58" i="5"/>
  <c r="S45" i="5"/>
  <c r="S181" i="5"/>
  <c r="S39" i="5"/>
  <c r="S52" i="5"/>
  <c r="S47" i="5"/>
  <c r="S159" i="5"/>
  <c r="R82" i="5"/>
  <c r="S178" i="5"/>
  <c r="S160" i="5"/>
  <c r="O94" i="5"/>
  <c r="Q94" i="5"/>
  <c r="S162" i="5"/>
  <c r="S183" i="5"/>
  <c r="M58" i="5"/>
  <c r="S53" i="5"/>
  <c r="S172" i="5"/>
  <c r="S50" i="5"/>
  <c r="S161" i="5"/>
  <c r="S179" i="5"/>
  <c r="P94" i="5"/>
  <c r="G94" i="5"/>
  <c r="R75" i="5"/>
  <c r="S48" i="5"/>
  <c r="R85" i="5"/>
  <c r="S43" i="5"/>
  <c r="R93" i="5"/>
  <c r="S37" i="5"/>
  <c r="E58" i="5"/>
  <c r="S158" i="5"/>
  <c r="S40" i="5"/>
  <c r="S54" i="5"/>
  <c r="S167" i="5"/>
  <c r="O58" i="5"/>
  <c r="I94" i="5"/>
  <c r="H58" i="5"/>
  <c r="R58" i="5"/>
  <c r="S38" i="5"/>
  <c r="R94" i="5"/>
  <c r="S166" i="5"/>
  <c r="S174" i="5"/>
  <c r="S157" i="5"/>
  <c r="I58" i="5"/>
  <c r="S42" i="5"/>
  <c r="S58" i="5"/>
  <c r="S168" i="5"/>
  <c r="Q58" i="5"/>
  <c r="S156" i="5"/>
  <c r="S175" i="5"/>
  <c r="R86" i="5"/>
  <c r="R79" i="5"/>
  <c r="P58" i="5"/>
  <c r="R81" i="5"/>
  <c r="S173" i="5"/>
  <c r="S165" i="5"/>
  <c r="S44" i="5"/>
  <c r="M94" i="5"/>
  <c r="S49" i="5"/>
  <c r="S164" i="5"/>
  <c r="R78" i="5"/>
  <c r="K94" i="5"/>
  <c r="R84" i="5"/>
  <c r="H94" i="5"/>
  <c r="R83" i="5"/>
  <c r="S55" i="5"/>
  <c r="S41" i="5"/>
  <c r="S57" i="5"/>
  <c r="S46" i="5"/>
  <c r="O10" i="6" l="1"/>
  <c r="M13" i="6"/>
  <c r="N13" i="6" s="1"/>
  <c r="M8" i="6"/>
  <c r="N8" i="6" s="1"/>
  <c r="P8" i="6"/>
  <c r="M6" i="6"/>
  <c r="N6" i="6" s="1"/>
  <c r="O7" i="6"/>
  <c r="P6" i="6"/>
  <c r="Q8" i="6"/>
  <c r="S8" i="6" s="1"/>
  <c r="P9" i="6"/>
  <c r="O11" i="6"/>
  <c r="M12" i="6"/>
  <c r="N12" i="6" s="1"/>
  <c r="W13" i="5"/>
  <c r="W14" i="5" s="1"/>
  <c r="M9" i="6"/>
  <c r="N9" i="6" s="1"/>
  <c r="O9" i="6"/>
  <c r="AB17" i="5"/>
  <c r="AB18" i="5" s="1"/>
  <c r="Q13" i="6"/>
  <c r="Q9" i="6"/>
  <c r="P13" i="6"/>
  <c r="Q11" i="6"/>
  <c r="P7" i="6"/>
  <c r="Q6" i="6"/>
  <c r="P11" i="6"/>
  <c r="Q7" i="6"/>
  <c r="AB15" i="5"/>
  <c r="AB16" i="5" s="1"/>
  <c r="K5" i="6"/>
  <c r="Q12" i="6"/>
  <c r="Q10" i="6"/>
  <c r="P10" i="6"/>
  <c r="S36" i="5"/>
  <c r="S73" i="5" s="1"/>
  <c r="S110" i="5" s="1"/>
  <c r="M151" i="5"/>
  <c r="N150" i="5"/>
  <c r="R111" i="5"/>
  <c r="R112" i="5"/>
  <c r="R113" i="5"/>
  <c r="R114" i="5"/>
  <c r="R115" i="5"/>
  <c r="R116" i="5"/>
  <c r="R117" i="5"/>
  <c r="R118" i="5"/>
  <c r="R119" i="5"/>
  <c r="R120" i="5"/>
  <c r="R121" i="5"/>
  <c r="R122" i="5"/>
  <c r="R123" i="5"/>
  <c r="R124" i="5"/>
  <c r="R125" i="5"/>
  <c r="R126" i="5"/>
  <c r="R127" i="5"/>
  <c r="R128" i="5"/>
  <c r="R129" i="5"/>
  <c r="R130" i="5"/>
  <c r="R109" i="5"/>
  <c r="T35" i="5"/>
  <c r="S72" i="5"/>
  <c r="K131" i="5"/>
  <c r="H131" i="5"/>
  <c r="Q131" i="5"/>
  <c r="N131" i="5"/>
  <c r="O131" i="5"/>
  <c r="L131" i="5"/>
  <c r="E131" i="5"/>
  <c r="R131" i="5"/>
  <c r="J131" i="5"/>
  <c r="P131" i="5"/>
  <c r="I131" i="5"/>
  <c r="F131" i="5"/>
  <c r="G131" i="5"/>
  <c r="M131" i="5"/>
  <c r="D96" i="5"/>
  <c r="D60" i="5"/>
  <c r="W17" i="5"/>
  <c r="W18" i="5" s="1"/>
  <c r="W6" i="5"/>
  <c r="W7" i="5" s="1"/>
  <c r="AB12" i="5"/>
  <c r="AB11" i="5"/>
  <c r="AB13" i="5"/>
  <c r="AB14" i="5" s="1"/>
  <c r="AB19" i="5"/>
  <c r="AB20" i="5" s="1"/>
  <c r="W19" i="5"/>
  <c r="W20" i="5" s="1"/>
  <c r="W15" i="5"/>
  <c r="W16" i="5" s="1"/>
  <c r="W11" i="5"/>
  <c r="C10" i="5"/>
  <c r="C3" i="5" s="1"/>
  <c r="S9" i="6"/>
  <c r="L5" i="6"/>
  <c r="R6" i="5"/>
  <c r="R11" i="5"/>
  <c r="R19" i="5"/>
  <c r="R20" i="5" s="1"/>
  <c r="R15" i="5"/>
  <c r="R16" i="5" s="1"/>
  <c r="R17" i="5"/>
  <c r="R18" i="5" s="1"/>
  <c r="R12" i="5"/>
  <c r="R13" i="5"/>
  <c r="R14" i="5" s="1"/>
  <c r="C27" i="5"/>
  <c r="T47" i="5"/>
  <c r="T57" i="5"/>
  <c r="Q59" i="5"/>
  <c r="T49" i="5"/>
  <c r="T182" i="5"/>
  <c r="S75" i="5"/>
  <c r="S92" i="5"/>
  <c r="E95" i="5"/>
  <c r="T51" i="5"/>
  <c r="K59" i="5"/>
  <c r="T165" i="5"/>
  <c r="T58" i="5"/>
  <c r="S85" i="5"/>
  <c r="F59" i="5"/>
  <c r="T181" i="5"/>
  <c r="S78" i="5"/>
  <c r="T154" i="5"/>
  <c r="T168" i="5"/>
  <c r="T180" i="5"/>
  <c r="T46" i="5"/>
  <c r="S74" i="5"/>
  <c r="T179" i="5"/>
  <c r="M95" i="5"/>
  <c r="S86" i="5"/>
  <c r="S88" i="5"/>
  <c r="M59" i="5"/>
  <c r="T41" i="5"/>
  <c r="P95" i="5"/>
  <c r="T53" i="5"/>
  <c r="I59" i="5"/>
  <c r="S77" i="5"/>
  <c r="R59" i="5"/>
  <c r="S82" i="5"/>
  <c r="T48" i="5"/>
  <c r="S76" i="5"/>
  <c r="S87" i="5"/>
  <c r="T167" i="5"/>
  <c r="T166" i="5"/>
  <c r="N95" i="5"/>
  <c r="S90" i="5"/>
  <c r="T55" i="5"/>
  <c r="Q95" i="5"/>
  <c r="T153" i="5"/>
  <c r="N59" i="5"/>
  <c r="S59" i="5"/>
  <c r="S94" i="5"/>
  <c r="S80" i="5"/>
  <c r="T163" i="5"/>
  <c r="T161" i="5"/>
  <c r="S89" i="5"/>
  <c r="T169" i="5"/>
  <c r="T38" i="5"/>
  <c r="S83" i="5"/>
  <c r="T52" i="5"/>
  <c r="T59" i="5"/>
  <c r="T45" i="5"/>
  <c r="T164" i="5"/>
  <c r="T44" i="5"/>
  <c r="O59" i="5"/>
  <c r="T170" i="5"/>
  <c r="P59" i="5"/>
  <c r="T175" i="5"/>
  <c r="G95" i="5"/>
  <c r="T172" i="5"/>
  <c r="G59" i="5"/>
  <c r="T39" i="5"/>
  <c r="T178" i="5"/>
  <c r="I95" i="5"/>
  <c r="S79" i="5"/>
  <c r="T43" i="5"/>
  <c r="T173" i="5"/>
  <c r="T158" i="5"/>
  <c r="S93" i="5"/>
  <c r="F95" i="5"/>
  <c r="T155" i="5"/>
  <c r="T40" i="5"/>
  <c r="T160" i="5"/>
  <c r="S95" i="5"/>
  <c r="T159" i="5"/>
  <c r="T56" i="5"/>
  <c r="T54" i="5"/>
  <c r="J59" i="5"/>
  <c r="T42" i="5"/>
  <c r="S81" i="5"/>
  <c r="T152" i="5"/>
  <c r="L95" i="5"/>
  <c r="T156" i="5"/>
  <c r="T171" i="5"/>
  <c r="H95" i="5"/>
  <c r="L59" i="5"/>
  <c r="T174" i="5"/>
  <c r="T176" i="5"/>
  <c r="O95" i="5"/>
  <c r="T162" i="5"/>
  <c r="T37" i="5"/>
  <c r="S84" i="5"/>
  <c r="T183" i="5"/>
  <c r="T50" i="5"/>
  <c r="E59" i="5"/>
  <c r="T177" i="5"/>
  <c r="R95" i="5"/>
  <c r="T157" i="5"/>
  <c r="J95" i="5"/>
  <c r="H59" i="5"/>
  <c r="K95" i="5"/>
  <c r="S91" i="5"/>
  <c r="S10" i="6" l="1"/>
  <c r="S12" i="6"/>
  <c r="S7" i="6"/>
  <c r="S13" i="6"/>
  <c r="O5" i="6"/>
  <c r="S11" i="6"/>
  <c r="P5" i="6"/>
  <c r="Q5" i="6"/>
  <c r="M5" i="6"/>
  <c r="S6" i="6"/>
  <c r="N5" i="6"/>
  <c r="R7" i="5"/>
  <c r="C6" i="5"/>
  <c r="C7" i="5" s="1"/>
  <c r="T36" i="5"/>
  <c r="T73" i="5" s="1"/>
  <c r="T110" i="5" s="1"/>
  <c r="N151" i="5"/>
  <c r="O150" i="5"/>
  <c r="S111" i="5"/>
  <c r="S112" i="5"/>
  <c r="S113" i="5"/>
  <c r="S114" i="5"/>
  <c r="S115" i="5"/>
  <c r="S116" i="5"/>
  <c r="S117" i="5"/>
  <c r="S118" i="5"/>
  <c r="S119" i="5"/>
  <c r="S120" i="5"/>
  <c r="S121" i="5"/>
  <c r="S122" i="5"/>
  <c r="S123" i="5"/>
  <c r="S124" i="5"/>
  <c r="S125" i="5"/>
  <c r="S126" i="5"/>
  <c r="S127" i="5"/>
  <c r="S128" i="5"/>
  <c r="S129" i="5"/>
  <c r="S130" i="5"/>
  <c r="S131" i="5"/>
  <c r="S109" i="5"/>
  <c r="U35" i="5"/>
  <c r="T72" i="5"/>
  <c r="Q132" i="5"/>
  <c r="F132" i="5"/>
  <c r="S132" i="5"/>
  <c r="P132" i="5"/>
  <c r="I132" i="5"/>
  <c r="J132" i="5"/>
  <c r="G132" i="5"/>
  <c r="M132" i="5"/>
  <c r="E132" i="5"/>
  <c r="N132" i="5"/>
  <c r="K132" i="5"/>
  <c r="H132" i="5"/>
  <c r="R132" i="5"/>
  <c r="O132" i="5"/>
  <c r="L132" i="5"/>
  <c r="D97" i="5"/>
  <c r="D61" i="5"/>
  <c r="C19" i="5"/>
  <c r="C20" i="5" s="1"/>
  <c r="C15" i="5"/>
  <c r="C16" i="5" s="1"/>
  <c r="C13" i="5"/>
  <c r="C14" i="5" s="1"/>
  <c r="C17" i="5"/>
  <c r="C18" i="5" s="1"/>
  <c r="U154" i="5"/>
  <c r="U48" i="5"/>
  <c r="U160" i="5"/>
  <c r="U40" i="5"/>
  <c r="U156" i="5"/>
  <c r="U168" i="5"/>
  <c r="T91" i="5"/>
  <c r="T81" i="5"/>
  <c r="U54" i="5"/>
  <c r="U170" i="5"/>
  <c r="N96" i="5"/>
  <c r="S96" i="5"/>
  <c r="U178" i="5"/>
  <c r="U43" i="5"/>
  <c r="T79" i="5"/>
  <c r="R60" i="5"/>
  <c r="U38" i="5"/>
  <c r="U157" i="5"/>
  <c r="U183" i="5"/>
  <c r="U59" i="5"/>
  <c r="U44" i="5"/>
  <c r="U42" i="5"/>
  <c r="T83" i="5"/>
  <c r="J60" i="5"/>
  <c r="U159" i="5"/>
  <c r="F60" i="5"/>
  <c r="U50" i="5"/>
  <c r="U57" i="5"/>
  <c r="U37" i="5"/>
  <c r="T78" i="5"/>
  <c r="U173" i="5"/>
  <c r="T90" i="5"/>
  <c r="U46" i="5"/>
  <c r="T88" i="5"/>
  <c r="U169" i="5"/>
  <c r="U55" i="5"/>
  <c r="E60" i="5"/>
  <c r="T75" i="5"/>
  <c r="I96" i="5"/>
  <c r="U155" i="5"/>
  <c r="T80" i="5"/>
  <c r="P60" i="5"/>
  <c r="U153" i="5"/>
  <c r="T96" i="5"/>
  <c r="T76" i="5"/>
  <c r="M96" i="5"/>
  <c r="U175" i="5"/>
  <c r="U163" i="5"/>
  <c r="K96" i="5"/>
  <c r="E96" i="5"/>
  <c r="T86" i="5"/>
  <c r="U176" i="5"/>
  <c r="U152" i="5"/>
  <c r="T60" i="5"/>
  <c r="Q96" i="5"/>
  <c r="U52" i="5"/>
  <c r="T74" i="5"/>
  <c r="J96" i="5"/>
  <c r="U171" i="5"/>
  <c r="Q60" i="5"/>
  <c r="T82" i="5"/>
  <c r="T85" i="5"/>
  <c r="U39" i="5"/>
  <c r="U161" i="5"/>
  <c r="U41" i="5"/>
  <c r="L60" i="5"/>
  <c r="U162" i="5"/>
  <c r="U47" i="5"/>
  <c r="U49" i="5"/>
  <c r="T77" i="5"/>
  <c r="L96" i="5"/>
  <c r="T95" i="5"/>
  <c r="N60" i="5"/>
  <c r="H60" i="5"/>
  <c r="G96" i="5"/>
  <c r="U179" i="5"/>
  <c r="U158" i="5"/>
  <c r="U166" i="5"/>
  <c r="U53" i="5"/>
  <c r="G60" i="5"/>
  <c r="U60" i="5"/>
  <c r="U51" i="5"/>
  <c r="S60" i="5"/>
  <c r="P96" i="5"/>
  <c r="U174" i="5"/>
  <c r="O96" i="5"/>
  <c r="R96" i="5"/>
  <c r="U165" i="5"/>
  <c r="K60" i="5"/>
  <c r="U182" i="5"/>
  <c r="U164" i="5"/>
  <c r="T92" i="5"/>
  <c r="U45" i="5"/>
  <c r="O60" i="5"/>
  <c r="T87" i="5"/>
  <c r="U180" i="5"/>
  <c r="T93" i="5"/>
  <c r="F96" i="5"/>
  <c r="U172" i="5"/>
  <c r="T84" i="5"/>
  <c r="U56" i="5"/>
  <c r="M60" i="5"/>
  <c r="T94" i="5"/>
  <c r="U177" i="5"/>
  <c r="I60" i="5"/>
  <c r="U181" i="5"/>
  <c r="H96" i="5"/>
  <c r="T89" i="5"/>
  <c r="U167" i="5"/>
  <c r="U58" i="5"/>
  <c r="G5" i="6" l="1"/>
  <c r="U36" i="5"/>
  <c r="U73" i="5" s="1"/>
  <c r="U110" i="5" s="1"/>
  <c r="P150" i="5"/>
  <c r="O151" i="5"/>
  <c r="T111" i="5"/>
  <c r="T112" i="5"/>
  <c r="T113" i="5"/>
  <c r="T114" i="5"/>
  <c r="T115" i="5"/>
  <c r="T116" i="5"/>
  <c r="T117" i="5"/>
  <c r="T118" i="5"/>
  <c r="T119" i="5"/>
  <c r="T120" i="5"/>
  <c r="T121" i="5"/>
  <c r="T122" i="5"/>
  <c r="T123" i="5"/>
  <c r="T124" i="5"/>
  <c r="T125" i="5"/>
  <c r="T126" i="5"/>
  <c r="T127" i="5"/>
  <c r="T128" i="5"/>
  <c r="T129" i="5"/>
  <c r="T130" i="5"/>
  <c r="T131" i="5"/>
  <c r="T132" i="5"/>
  <c r="U72" i="5"/>
  <c r="V35" i="5"/>
  <c r="T109" i="5"/>
  <c r="L133" i="5"/>
  <c r="T133" i="5"/>
  <c r="M133" i="5"/>
  <c r="N133" i="5"/>
  <c r="O133" i="5"/>
  <c r="Q133" i="5"/>
  <c r="R133" i="5"/>
  <c r="S133" i="5"/>
  <c r="H133" i="5"/>
  <c r="P133" i="5"/>
  <c r="E133" i="5"/>
  <c r="F133" i="5"/>
  <c r="G133" i="5"/>
  <c r="I133" i="5"/>
  <c r="J133" i="5"/>
  <c r="K133" i="5"/>
  <c r="D98" i="5"/>
  <c r="D62" i="5"/>
  <c r="K61" i="5"/>
  <c r="V53" i="5"/>
  <c r="V41" i="5"/>
  <c r="U87" i="5"/>
  <c r="V179" i="5"/>
  <c r="V169" i="5"/>
  <c r="Q61" i="5"/>
  <c r="V165" i="5"/>
  <c r="V166" i="5"/>
  <c r="V176" i="5"/>
  <c r="V45" i="5"/>
  <c r="V161" i="5"/>
  <c r="V177" i="5"/>
  <c r="U96" i="5"/>
  <c r="U80" i="5"/>
  <c r="V160" i="5"/>
  <c r="V167" i="5"/>
  <c r="V174" i="5"/>
  <c r="V50" i="5"/>
  <c r="U86" i="5"/>
  <c r="V164" i="5"/>
  <c r="P61" i="5"/>
  <c r="O61" i="5"/>
  <c r="V168" i="5"/>
  <c r="T61" i="5"/>
  <c r="E97" i="5"/>
  <c r="V163" i="5"/>
  <c r="M61" i="5"/>
  <c r="U76" i="5"/>
  <c r="G97" i="5"/>
  <c r="H97" i="5"/>
  <c r="U74" i="5"/>
  <c r="V175" i="5"/>
  <c r="V51" i="5"/>
  <c r="F97" i="5"/>
  <c r="V180" i="5"/>
  <c r="K97" i="5"/>
  <c r="V173" i="5"/>
  <c r="U89" i="5"/>
  <c r="U93" i="5"/>
  <c r="V183" i="5"/>
  <c r="V44" i="5"/>
  <c r="I61" i="5"/>
  <c r="M97" i="5"/>
  <c r="U83" i="5"/>
  <c r="J97" i="5"/>
  <c r="V40" i="5"/>
  <c r="V54" i="5"/>
  <c r="V37" i="5"/>
  <c r="I97" i="5"/>
  <c r="V61" i="5"/>
  <c r="U82" i="5"/>
  <c r="U90" i="5"/>
  <c r="U75" i="5"/>
  <c r="R61" i="5"/>
  <c r="V39" i="5"/>
  <c r="H61" i="5"/>
  <c r="S97" i="5"/>
  <c r="V38" i="5"/>
  <c r="V178" i="5"/>
  <c r="V58" i="5"/>
  <c r="S61" i="5"/>
  <c r="V159" i="5"/>
  <c r="V56" i="5"/>
  <c r="L61" i="5"/>
  <c r="U79" i="5"/>
  <c r="U61" i="5"/>
  <c r="V171" i="5"/>
  <c r="R97" i="5"/>
  <c r="V172" i="5"/>
  <c r="U94" i="5"/>
  <c r="E61" i="5"/>
  <c r="O97" i="5"/>
  <c r="U84" i="5"/>
  <c r="U91" i="5"/>
  <c r="V158" i="5"/>
  <c r="G61" i="5"/>
  <c r="V60" i="5"/>
  <c r="U88" i="5"/>
  <c r="U85" i="5"/>
  <c r="T97" i="5"/>
  <c r="V162" i="5"/>
  <c r="V181" i="5"/>
  <c r="V52" i="5"/>
  <c r="V57" i="5"/>
  <c r="V43" i="5"/>
  <c r="N97" i="5"/>
  <c r="J61" i="5"/>
  <c r="V46" i="5"/>
  <c r="V59" i="5"/>
  <c r="V182" i="5"/>
  <c r="U78" i="5"/>
  <c r="V156" i="5"/>
  <c r="U77" i="5"/>
  <c r="F61" i="5"/>
  <c r="V153" i="5"/>
  <c r="U97" i="5"/>
  <c r="L97" i="5"/>
  <c r="V49" i="5"/>
  <c r="V157" i="5"/>
  <c r="N61" i="5"/>
  <c r="V154" i="5"/>
  <c r="V170" i="5"/>
  <c r="U95" i="5"/>
  <c r="V152" i="5"/>
  <c r="V155" i="5"/>
  <c r="Q97" i="5"/>
  <c r="V47" i="5"/>
  <c r="P97" i="5"/>
  <c r="U92" i="5"/>
  <c r="U81" i="5"/>
  <c r="V42" i="5"/>
  <c r="V48" i="5"/>
  <c r="V55" i="5"/>
  <c r="V36" i="5" l="1"/>
  <c r="V73" i="5" s="1"/>
  <c r="V110" i="5" s="1"/>
  <c r="Q150" i="5"/>
  <c r="P151" i="5"/>
  <c r="U111" i="5"/>
  <c r="U112" i="5"/>
  <c r="U113" i="5"/>
  <c r="U114" i="5"/>
  <c r="U115" i="5"/>
  <c r="U116" i="5"/>
  <c r="U117" i="5"/>
  <c r="U118" i="5"/>
  <c r="U119" i="5"/>
  <c r="U120" i="5"/>
  <c r="U121" i="5"/>
  <c r="U122" i="5"/>
  <c r="U123" i="5"/>
  <c r="U124" i="5"/>
  <c r="U125" i="5"/>
  <c r="U126" i="5"/>
  <c r="U127" i="5"/>
  <c r="U128" i="5"/>
  <c r="U129" i="5"/>
  <c r="U130" i="5"/>
  <c r="U131" i="5"/>
  <c r="U132" i="5"/>
  <c r="U133" i="5"/>
  <c r="V72" i="5"/>
  <c r="W35" i="5"/>
  <c r="U109" i="5"/>
  <c r="K134" i="5"/>
  <c r="H134" i="5"/>
  <c r="N134" i="5"/>
  <c r="O134" i="5"/>
  <c r="L134" i="5"/>
  <c r="E134" i="5"/>
  <c r="U134" i="5"/>
  <c r="Q134" i="5"/>
  <c r="R134" i="5"/>
  <c r="S134" i="5"/>
  <c r="P134" i="5"/>
  <c r="I134" i="5"/>
  <c r="F134" i="5"/>
  <c r="J134" i="5"/>
  <c r="G134" i="5"/>
  <c r="T134" i="5"/>
  <c r="M134" i="5"/>
  <c r="D99" i="5"/>
  <c r="D63" i="5"/>
  <c r="W44" i="5"/>
  <c r="E98" i="5"/>
  <c r="K98" i="5"/>
  <c r="V86" i="5"/>
  <c r="W171" i="5"/>
  <c r="W156" i="5"/>
  <c r="W162" i="5"/>
  <c r="V89" i="5"/>
  <c r="W164" i="5"/>
  <c r="V85" i="5"/>
  <c r="H98" i="5"/>
  <c r="K62" i="5"/>
  <c r="W154" i="5"/>
  <c r="W41" i="5"/>
  <c r="W49" i="5"/>
  <c r="W53" i="5"/>
  <c r="W167" i="5"/>
  <c r="W45" i="5"/>
  <c r="W172" i="5"/>
  <c r="W47" i="5"/>
  <c r="W60" i="5"/>
  <c r="F98" i="5"/>
  <c r="M98" i="5"/>
  <c r="W161" i="5"/>
  <c r="W174" i="5"/>
  <c r="W46" i="5"/>
  <c r="J62" i="5"/>
  <c r="V96" i="5"/>
  <c r="W182" i="5"/>
  <c r="S62" i="5"/>
  <c r="W157" i="5"/>
  <c r="V84" i="5"/>
  <c r="F62" i="5"/>
  <c r="R98" i="5"/>
  <c r="G62" i="5"/>
  <c r="W170" i="5"/>
  <c r="V87" i="5"/>
  <c r="W163" i="5"/>
  <c r="U98" i="5"/>
  <c r="Q62" i="5"/>
  <c r="O98" i="5"/>
  <c r="W61" i="5"/>
  <c r="V88" i="5"/>
  <c r="W183" i="5"/>
  <c r="V83" i="5"/>
  <c r="N98" i="5"/>
  <c r="W48" i="5"/>
  <c r="P62" i="5"/>
  <c r="V91" i="5"/>
  <c r="W160" i="5"/>
  <c r="W37" i="5"/>
  <c r="W165" i="5"/>
  <c r="W54" i="5"/>
  <c r="W38" i="5"/>
  <c r="V78" i="5"/>
  <c r="W59" i="5"/>
  <c r="V80" i="5"/>
  <c r="U62" i="5"/>
  <c r="W42" i="5"/>
  <c r="V75" i="5"/>
  <c r="T62" i="5"/>
  <c r="W176" i="5"/>
  <c r="I98" i="5"/>
  <c r="V77" i="5"/>
  <c r="V81" i="5"/>
  <c r="S98" i="5"/>
  <c r="V94" i="5"/>
  <c r="J98" i="5"/>
  <c r="W152" i="5"/>
  <c r="W40" i="5"/>
  <c r="W169" i="5"/>
  <c r="W51" i="5"/>
  <c r="T98" i="5"/>
  <c r="W50" i="5"/>
  <c r="W175" i="5"/>
  <c r="H62" i="5"/>
  <c r="L62" i="5"/>
  <c r="V97" i="5"/>
  <c r="W181" i="5"/>
  <c r="V95" i="5"/>
  <c r="R62" i="5"/>
  <c r="W166" i="5"/>
  <c r="M62" i="5"/>
  <c r="W58" i="5"/>
  <c r="E62" i="5"/>
  <c r="W56" i="5"/>
  <c r="W57" i="5"/>
  <c r="V82" i="5"/>
  <c r="V92" i="5"/>
  <c r="G98" i="5"/>
  <c r="V62" i="5"/>
  <c r="W155" i="5"/>
  <c r="O62" i="5"/>
  <c r="P98" i="5"/>
  <c r="W168" i="5"/>
  <c r="W52" i="5"/>
  <c r="W153" i="5"/>
  <c r="V93" i="5"/>
  <c r="W158" i="5"/>
  <c r="W62" i="5"/>
  <c r="W178" i="5"/>
  <c r="V76" i="5"/>
  <c r="W177" i="5"/>
  <c r="N62" i="5"/>
  <c r="W159" i="5"/>
  <c r="V79" i="5"/>
  <c r="W43" i="5"/>
  <c r="V74" i="5"/>
  <c r="Q98" i="5"/>
  <c r="W55" i="5"/>
  <c r="I62" i="5"/>
  <c r="W179" i="5"/>
  <c r="V98" i="5"/>
  <c r="L98" i="5"/>
  <c r="W173" i="5"/>
  <c r="W39" i="5"/>
  <c r="W180" i="5"/>
  <c r="V90" i="5"/>
  <c r="W36" i="5" l="1"/>
  <c r="W73" i="5" s="1"/>
  <c r="W110" i="5" s="1"/>
  <c r="Q151" i="5"/>
  <c r="R150" i="5"/>
  <c r="V111" i="5"/>
  <c r="V112" i="5"/>
  <c r="V113" i="5"/>
  <c r="V114" i="5"/>
  <c r="V115" i="5"/>
  <c r="V116" i="5"/>
  <c r="V117" i="5"/>
  <c r="V118" i="5"/>
  <c r="V119" i="5"/>
  <c r="V120" i="5"/>
  <c r="V121" i="5"/>
  <c r="V122" i="5"/>
  <c r="V123" i="5"/>
  <c r="V124" i="5"/>
  <c r="V125" i="5"/>
  <c r="V126" i="5"/>
  <c r="V127" i="5"/>
  <c r="V128" i="5"/>
  <c r="V129" i="5"/>
  <c r="V130" i="5"/>
  <c r="V131" i="5"/>
  <c r="V132" i="5"/>
  <c r="V133" i="5"/>
  <c r="V134" i="5"/>
  <c r="X35" i="5"/>
  <c r="W72" i="5"/>
  <c r="V109" i="5"/>
  <c r="F135" i="5"/>
  <c r="S135" i="5"/>
  <c r="I135" i="5"/>
  <c r="J135" i="5"/>
  <c r="G135" i="5"/>
  <c r="T135" i="5"/>
  <c r="Q135" i="5"/>
  <c r="P135" i="5"/>
  <c r="M135" i="5"/>
  <c r="E135" i="5"/>
  <c r="N135" i="5"/>
  <c r="K135" i="5"/>
  <c r="H135" i="5"/>
  <c r="V135" i="5"/>
  <c r="U135" i="5"/>
  <c r="R135" i="5"/>
  <c r="O135" i="5"/>
  <c r="L135" i="5"/>
  <c r="D100" i="5"/>
  <c r="D64" i="5"/>
  <c r="X164" i="5"/>
  <c r="X62" i="5"/>
  <c r="L63" i="5"/>
  <c r="W94" i="5"/>
  <c r="X45" i="5"/>
  <c r="R63" i="5"/>
  <c r="X182" i="5"/>
  <c r="W88" i="5"/>
  <c r="U99" i="5"/>
  <c r="X38" i="5"/>
  <c r="X51" i="5"/>
  <c r="W74" i="5"/>
  <c r="X163" i="5"/>
  <c r="P63" i="5"/>
  <c r="W92" i="5"/>
  <c r="X179" i="5"/>
  <c r="O63" i="5"/>
  <c r="X59" i="5"/>
  <c r="X53" i="5"/>
  <c r="K99" i="5"/>
  <c r="X52" i="5"/>
  <c r="U63" i="5"/>
  <c r="R99" i="5"/>
  <c r="X174" i="5"/>
  <c r="M63" i="5"/>
  <c r="X61" i="5"/>
  <c r="W91" i="5"/>
  <c r="S99" i="5"/>
  <c r="W84" i="5"/>
  <c r="W96" i="5"/>
  <c r="X43" i="5"/>
  <c r="X183" i="5"/>
  <c r="W63" i="5"/>
  <c r="X156" i="5"/>
  <c r="X161" i="5"/>
  <c r="W89" i="5"/>
  <c r="W82" i="5"/>
  <c r="W95" i="5"/>
  <c r="X56" i="5"/>
  <c r="X178" i="5"/>
  <c r="I63" i="5"/>
  <c r="X49" i="5"/>
  <c r="X158" i="5"/>
  <c r="X154" i="5"/>
  <c r="X176" i="5"/>
  <c r="W81" i="5"/>
  <c r="X42" i="5"/>
  <c r="W78" i="5"/>
  <c r="W98" i="5"/>
  <c r="T63" i="5"/>
  <c r="X152" i="5"/>
  <c r="W97" i="5"/>
  <c r="X50" i="5"/>
  <c r="W80" i="5"/>
  <c r="W76" i="5"/>
  <c r="E99" i="5"/>
  <c r="X48" i="5"/>
  <c r="N63" i="5"/>
  <c r="V99" i="5"/>
  <c r="W90" i="5"/>
  <c r="X55" i="5"/>
  <c r="X157" i="5"/>
  <c r="W79" i="5"/>
  <c r="W87" i="5"/>
  <c r="X168" i="5"/>
  <c r="X44" i="5"/>
  <c r="E63" i="5"/>
  <c r="W77" i="5"/>
  <c r="X63" i="5"/>
  <c r="X171" i="5"/>
  <c r="X180" i="5"/>
  <c r="X159" i="5"/>
  <c r="W93" i="5"/>
  <c r="X165" i="5"/>
  <c r="X57" i="5"/>
  <c r="L99" i="5"/>
  <c r="J99" i="5"/>
  <c r="M99" i="5"/>
  <c r="F63" i="5"/>
  <c r="X177" i="5"/>
  <c r="Q63" i="5"/>
  <c r="H99" i="5"/>
  <c r="X173" i="5"/>
  <c r="X37" i="5"/>
  <c r="W85" i="5"/>
  <c r="W86" i="5"/>
  <c r="I99" i="5"/>
  <c r="P99" i="5"/>
  <c r="X155" i="5"/>
  <c r="X170" i="5"/>
  <c r="X172" i="5"/>
  <c r="J63" i="5"/>
  <c r="V63" i="5"/>
  <c r="X167" i="5"/>
  <c r="X40" i="5"/>
  <c r="X41" i="5"/>
  <c r="W99" i="5"/>
  <c r="H63" i="5"/>
  <c r="X46" i="5"/>
  <c r="O99" i="5"/>
  <c r="K63" i="5"/>
  <c r="X160" i="5"/>
  <c r="X153" i="5"/>
  <c r="X181" i="5"/>
  <c r="X39" i="5"/>
  <c r="X47" i="5"/>
  <c r="X175" i="5"/>
  <c r="X54" i="5"/>
  <c r="X162" i="5"/>
  <c r="F99" i="5"/>
  <c r="T99" i="5"/>
  <c r="G63" i="5"/>
  <c r="N99" i="5"/>
  <c r="Q99" i="5"/>
  <c r="X60" i="5"/>
  <c r="S63" i="5"/>
  <c r="X166" i="5"/>
  <c r="X169" i="5"/>
  <c r="W83" i="5"/>
  <c r="W75" i="5"/>
  <c r="G99" i="5"/>
  <c r="X58" i="5"/>
  <c r="X36" i="5" l="1"/>
  <c r="X73" i="5" s="1"/>
  <c r="X110" i="5" s="1"/>
  <c r="R151" i="5"/>
  <c r="S150" i="5"/>
  <c r="W111" i="5"/>
  <c r="W112" i="5"/>
  <c r="W113" i="5"/>
  <c r="W114" i="5"/>
  <c r="W115" i="5"/>
  <c r="W116" i="5"/>
  <c r="W117" i="5"/>
  <c r="W118" i="5"/>
  <c r="W119" i="5"/>
  <c r="W120" i="5"/>
  <c r="W121" i="5"/>
  <c r="W122" i="5"/>
  <c r="W123" i="5"/>
  <c r="W124" i="5"/>
  <c r="W125" i="5"/>
  <c r="W126" i="5"/>
  <c r="W127" i="5"/>
  <c r="W128" i="5"/>
  <c r="W129" i="5"/>
  <c r="W130" i="5"/>
  <c r="W131" i="5"/>
  <c r="W132" i="5"/>
  <c r="W133" i="5"/>
  <c r="W134" i="5"/>
  <c r="W135" i="5"/>
  <c r="W109" i="5"/>
  <c r="Y35" i="5"/>
  <c r="X72" i="5"/>
  <c r="I136" i="5"/>
  <c r="R136" i="5"/>
  <c r="O136" i="5"/>
  <c r="L136" i="5"/>
  <c r="T136" i="5"/>
  <c r="M136" i="5"/>
  <c r="F136" i="5"/>
  <c r="V136" i="5"/>
  <c r="S136" i="5"/>
  <c r="H136" i="5"/>
  <c r="Q136" i="5"/>
  <c r="J136" i="5"/>
  <c r="G136" i="5"/>
  <c r="W136" i="5"/>
  <c r="P136" i="5"/>
  <c r="E136" i="5"/>
  <c r="U136" i="5"/>
  <c r="N136" i="5"/>
  <c r="K136" i="5"/>
  <c r="D101" i="5"/>
  <c r="D65" i="5"/>
  <c r="Y169" i="5"/>
  <c r="Y181" i="5"/>
  <c r="Y46" i="5"/>
  <c r="S100" i="5"/>
  <c r="Y57" i="5"/>
  <c r="F100" i="5"/>
  <c r="Y37" i="5"/>
  <c r="X95" i="5"/>
  <c r="G64" i="5"/>
  <c r="X81" i="5"/>
  <c r="V64" i="5"/>
  <c r="Y54" i="5"/>
  <c r="Y38" i="5"/>
  <c r="X80" i="5"/>
  <c r="X74" i="5"/>
  <c r="L64" i="5"/>
  <c r="Y179" i="5"/>
  <c r="X84" i="5"/>
  <c r="H100" i="5"/>
  <c r="J64" i="5"/>
  <c r="Y63" i="5"/>
  <c r="O64" i="5"/>
  <c r="Y47" i="5"/>
  <c r="Y168" i="5"/>
  <c r="Y170" i="5"/>
  <c r="Q64" i="5"/>
  <c r="X92" i="5"/>
  <c r="Y42" i="5"/>
  <c r="Y167" i="5"/>
  <c r="Y40" i="5"/>
  <c r="K100" i="5"/>
  <c r="F64" i="5"/>
  <c r="Y175" i="5"/>
  <c r="Y49" i="5"/>
  <c r="P64" i="5"/>
  <c r="E64" i="5"/>
  <c r="Y173" i="5"/>
  <c r="Y166" i="5"/>
  <c r="U64" i="5"/>
  <c r="X86" i="5"/>
  <c r="Y176" i="5"/>
  <c r="H64" i="5"/>
  <c r="X91" i="5"/>
  <c r="X100" i="5"/>
  <c r="Y64" i="5"/>
  <c r="Y165" i="5"/>
  <c r="X88" i="5"/>
  <c r="T64" i="5"/>
  <c r="I100" i="5"/>
  <c r="U100" i="5"/>
  <c r="Y39" i="5"/>
  <c r="Y155" i="5"/>
  <c r="X90" i="5"/>
  <c r="Y53" i="5"/>
  <c r="Y61" i="5"/>
  <c r="X79" i="5"/>
  <c r="J100" i="5"/>
  <c r="X64" i="5"/>
  <c r="Y152" i="5"/>
  <c r="R100" i="5"/>
  <c r="V100" i="5"/>
  <c r="Y182" i="5"/>
  <c r="Y171" i="5"/>
  <c r="X87" i="5"/>
  <c r="X94" i="5"/>
  <c r="Y52" i="5"/>
  <c r="S64" i="5"/>
  <c r="X78" i="5"/>
  <c r="Y157" i="5"/>
  <c r="Y180" i="5"/>
  <c r="L100" i="5"/>
  <c r="Y45" i="5"/>
  <c r="X93" i="5"/>
  <c r="Y162" i="5"/>
  <c r="Y60" i="5"/>
  <c r="X99" i="5"/>
  <c r="Q100" i="5"/>
  <c r="X76" i="5"/>
  <c r="O100" i="5"/>
  <c r="Y55" i="5"/>
  <c r="Y178" i="5"/>
  <c r="Y62" i="5"/>
  <c r="T100" i="5"/>
  <c r="X77" i="5"/>
  <c r="Y174" i="5"/>
  <c r="Y59" i="5"/>
  <c r="Y48" i="5"/>
  <c r="X85" i="5"/>
  <c r="E100" i="5"/>
  <c r="X75" i="5"/>
  <c r="Y153" i="5"/>
  <c r="W64" i="5"/>
  <c r="Y41" i="5"/>
  <c r="Y154" i="5"/>
  <c r="Y51" i="5"/>
  <c r="M64" i="5"/>
  <c r="X98" i="5"/>
  <c r="X97" i="5"/>
  <c r="N100" i="5"/>
  <c r="Y172" i="5"/>
  <c r="Y160" i="5"/>
  <c r="Y158" i="5"/>
  <c r="Y50" i="5"/>
  <c r="X83" i="5"/>
  <c r="Y177" i="5"/>
  <c r="G100" i="5"/>
  <c r="Y156" i="5"/>
  <c r="M100" i="5"/>
  <c r="Y56" i="5"/>
  <c r="Y164" i="5"/>
  <c r="Y43" i="5"/>
  <c r="Y44" i="5"/>
  <c r="P100" i="5"/>
  <c r="Y163" i="5"/>
  <c r="X96" i="5"/>
  <c r="R64" i="5"/>
  <c r="Y161" i="5"/>
  <c r="K64" i="5"/>
  <c r="N64" i="5"/>
  <c r="X89" i="5"/>
  <c r="X82" i="5"/>
  <c r="W100" i="5"/>
  <c r="Y183" i="5"/>
  <c r="Y58" i="5"/>
  <c r="Y159" i="5"/>
  <c r="I64" i="5"/>
  <c r="Y36" i="5" l="1"/>
  <c r="Y73" i="5" s="1"/>
  <c r="Y110" i="5" s="1"/>
  <c r="T150" i="5"/>
  <c r="S151" i="5"/>
  <c r="X111" i="5"/>
  <c r="X112" i="5"/>
  <c r="X113" i="5"/>
  <c r="X114" i="5"/>
  <c r="X115" i="5"/>
  <c r="X116" i="5"/>
  <c r="X117" i="5"/>
  <c r="X118" i="5"/>
  <c r="X119" i="5"/>
  <c r="X120" i="5"/>
  <c r="X121" i="5"/>
  <c r="X122" i="5"/>
  <c r="X123" i="5"/>
  <c r="X124" i="5"/>
  <c r="X125" i="5"/>
  <c r="X126" i="5"/>
  <c r="X127" i="5"/>
  <c r="X128" i="5"/>
  <c r="X129" i="5"/>
  <c r="X130" i="5"/>
  <c r="X131" i="5"/>
  <c r="X132" i="5"/>
  <c r="X133" i="5"/>
  <c r="X134" i="5"/>
  <c r="X135" i="5"/>
  <c r="X136" i="5"/>
  <c r="Y72" i="5"/>
  <c r="Z35" i="5"/>
  <c r="X109" i="5"/>
  <c r="E137" i="5"/>
  <c r="G137" i="5"/>
  <c r="N137" i="5"/>
  <c r="W137" i="5"/>
  <c r="O137" i="5"/>
  <c r="P137" i="5"/>
  <c r="I137" i="5"/>
  <c r="R137" i="5"/>
  <c r="L137" i="5"/>
  <c r="U137" i="5"/>
  <c r="T137" i="5"/>
  <c r="M137" i="5"/>
  <c r="F137" i="5"/>
  <c r="V137" i="5"/>
  <c r="S137" i="5"/>
  <c r="K137" i="5"/>
  <c r="H137" i="5"/>
  <c r="X137" i="5"/>
  <c r="Q137" i="5"/>
  <c r="J137" i="5"/>
  <c r="D102" i="5"/>
  <c r="D66" i="5"/>
  <c r="Z36" i="5" l="1"/>
  <c r="Z73" i="5" s="1"/>
  <c r="Z110" i="5" s="1"/>
  <c r="T151" i="5"/>
  <c r="U150" i="5"/>
  <c r="AA35" i="5"/>
  <c r="Z72" i="5"/>
  <c r="Y109" i="5"/>
  <c r="D103" i="5"/>
  <c r="D67" i="5"/>
  <c r="AA36" i="5" l="1"/>
  <c r="AA73" i="5" s="1"/>
  <c r="AA110" i="5" s="1"/>
  <c r="U151" i="5"/>
  <c r="V150" i="5"/>
  <c r="Z109" i="5"/>
  <c r="AB35" i="5"/>
  <c r="AA72" i="5"/>
  <c r="D104" i="5"/>
  <c r="D68" i="5"/>
  <c r="AB36" i="5" l="1"/>
  <c r="AB73" i="5" s="1"/>
  <c r="AB110" i="5" s="1"/>
  <c r="V151" i="5"/>
  <c r="W150" i="5"/>
  <c r="AA109" i="5"/>
  <c r="AC35" i="5"/>
  <c r="AB72" i="5"/>
  <c r="D105" i="5"/>
  <c r="AC36" i="5" l="1"/>
  <c r="AC73" i="5" s="1"/>
  <c r="AC110" i="5" s="1"/>
  <c r="X150" i="5"/>
  <c r="W151" i="5"/>
  <c r="AC72" i="5"/>
  <c r="AD35" i="5"/>
  <c r="AB109" i="5"/>
  <c r="AD36" i="5" l="1"/>
  <c r="AD73" i="5" s="1"/>
  <c r="AD110" i="5" s="1"/>
  <c r="Y150" i="5"/>
  <c r="X151" i="5"/>
  <c r="AD72" i="5"/>
  <c r="AE35" i="5"/>
  <c r="AC109" i="5"/>
  <c r="AE36" i="5" l="1"/>
  <c r="AE73" i="5" s="1"/>
  <c r="AE110" i="5" s="1"/>
  <c r="Y151" i="5"/>
  <c r="Z150" i="5"/>
  <c r="AD109" i="5"/>
  <c r="AF35" i="5"/>
  <c r="AE72" i="5"/>
  <c r="AF36" i="5" l="1"/>
  <c r="AF73" i="5" s="1"/>
  <c r="AF110" i="5" s="1"/>
  <c r="Z151" i="5"/>
  <c r="AA150" i="5"/>
  <c r="AE109" i="5"/>
  <c r="AG35" i="5"/>
  <c r="AF72" i="5"/>
  <c r="AG36" i="5" l="1"/>
  <c r="AG73" i="5" s="1"/>
  <c r="AG110" i="5" s="1"/>
  <c r="AB150" i="5"/>
  <c r="AA151" i="5"/>
  <c r="AF109" i="5"/>
  <c r="AG72" i="5"/>
  <c r="AH35" i="5"/>
  <c r="AH36" i="5" l="1"/>
  <c r="AH73" i="5" s="1"/>
  <c r="AH110" i="5" s="1"/>
  <c r="AB151" i="5"/>
  <c r="AC150" i="5"/>
  <c r="AH72" i="5"/>
  <c r="AI35" i="5"/>
  <c r="AG109" i="5"/>
  <c r="AI36" i="5" l="1"/>
  <c r="AI73" i="5" s="1"/>
  <c r="AI110" i="5" s="1"/>
  <c r="AC151" i="5"/>
  <c r="AD150" i="5"/>
  <c r="AJ35" i="5"/>
  <c r="AI72" i="5"/>
  <c r="AH109" i="5"/>
  <c r="AJ36" i="5" l="1"/>
  <c r="AJ73" i="5" s="1"/>
  <c r="AJ110" i="5" s="1"/>
  <c r="AD151" i="5"/>
  <c r="AE150" i="5"/>
  <c r="AI109" i="5"/>
  <c r="AK35" i="5"/>
  <c r="AJ72" i="5"/>
  <c r="AK36" i="5" l="1"/>
  <c r="AK73" i="5" s="1"/>
  <c r="AK110" i="5" s="1"/>
  <c r="AF150" i="5"/>
  <c r="AE151" i="5"/>
  <c r="AJ109" i="5"/>
  <c r="AK72" i="5"/>
  <c r="AL35" i="5"/>
  <c r="AL36" i="5" l="1"/>
  <c r="AL73" i="5" s="1"/>
  <c r="AL110" i="5" s="1"/>
  <c r="AG150" i="5"/>
  <c r="AF151" i="5"/>
  <c r="AL72" i="5"/>
  <c r="AM35" i="5"/>
  <c r="AK109" i="5"/>
  <c r="AM36" i="5" l="1"/>
  <c r="AM73" i="5" s="1"/>
  <c r="AM110" i="5" s="1"/>
  <c r="AG151" i="5"/>
  <c r="AH150" i="5"/>
  <c r="AM72" i="5"/>
  <c r="AN35" i="5"/>
  <c r="AL109" i="5"/>
  <c r="AN36" i="5" l="1"/>
  <c r="AN73" i="5" s="1"/>
  <c r="AN110" i="5" s="1"/>
  <c r="AH151" i="5"/>
  <c r="AI150" i="5"/>
  <c r="AO35" i="5"/>
  <c r="AN72" i="5"/>
  <c r="AM109" i="5"/>
  <c r="AO36" i="5" l="1"/>
  <c r="AO73" i="5" s="1"/>
  <c r="AO110" i="5" s="1"/>
  <c r="AJ150" i="5"/>
  <c r="AI151" i="5"/>
  <c r="AN109" i="5"/>
  <c r="AO72" i="5"/>
  <c r="AJ151" i="5" l="1"/>
  <c r="AK150" i="5"/>
  <c r="AO109" i="5"/>
  <c r="AK151" i="5" l="1"/>
  <c r="AL150" i="5"/>
  <c r="AL151" i="5" l="1"/>
  <c r="AM150" i="5"/>
  <c r="AN150" i="5" l="1"/>
  <c r="AM151" i="5"/>
  <c r="AO150" i="5" l="1"/>
  <c r="AO151" i="5" s="1"/>
  <c r="AN151" i="5"/>
  <c r="AJ172" i="5"/>
  <c r="AI57" i="5"/>
  <c r="J67" i="5"/>
  <c r="AG164" i="5"/>
  <c r="AH172" i="5"/>
  <c r="AM59" i="5"/>
  <c r="AF54" i="5"/>
  <c r="AB80" i="5"/>
  <c r="Z85" i="5"/>
  <c r="N104" i="5"/>
  <c r="Z65" i="5"/>
  <c r="AL167" i="5"/>
  <c r="AL102" i="5"/>
  <c r="AJ155" i="5"/>
  <c r="Z178" i="5"/>
  <c r="AE101" i="5"/>
  <c r="AL74" i="5"/>
  <c r="AO175" i="5"/>
  <c r="AF180" i="5"/>
  <c r="AK53" i="5"/>
  <c r="AI154" i="5"/>
  <c r="AJ100" i="5"/>
  <c r="Y96" i="5"/>
  <c r="AA94" i="5"/>
  <c r="AK93" i="5"/>
  <c r="AH82" i="5"/>
  <c r="AM63" i="5"/>
  <c r="AF79" i="5"/>
  <c r="AB62" i="5"/>
  <c r="AL94" i="5"/>
  <c r="AI40" i="5"/>
  <c r="AF47" i="5"/>
  <c r="U65" i="5"/>
  <c r="AH51" i="5"/>
  <c r="R102" i="5"/>
  <c r="AB43" i="5"/>
  <c r="AL170" i="5"/>
  <c r="AC63" i="5"/>
  <c r="AO80" i="5"/>
  <c r="AN171" i="5"/>
  <c r="I66" i="5"/>
  <c r="AG77" i="5"/>
  <c r="AB39" i="5"/>
  <c r="AH104" i="5"/>
  <c r="AO162" i="5"/>
  <c r="AF63" i="5"/>
  <c r="AL49" i="5"/>
  <c r="AK181" i="5"/>
  <c r="Z75" i="5"/>
  <c r="I104" i="5"/>
  <c r="AK169" i="5"/>
  <c r="AD175" i="5"/>
  <c r="AE74" i="5"/>
  <c r="AA166" i="5"/>
  <c r="AB166" i="5"/>
  <c r="AI68" i="5"/>
  <c r="AH84" i="5"/>
  <c r="AF183" i="5"/>
  <c r="AM44" i="5"/>
  <c r="AL95" i="5"/>
  <c r="AB81" i="5"/>
  <c r="AN75" i="5"/>
  <c r="AK40" i="5"/>
  <c r="AC39" i="5"/>
  <c r="F103" i="5"/>
  <c r="AI167" i="5"/>
  <c r="AN153" i="5"/>
  <c r="AC91" i="5"/>
  <c r="AK162" i="5"/>
  <c r="AD98" i="5"/>
  <c r="T66" i="5"/>
  <c r="AE38" i="5"/>
  <c r="AF53" i="5"/>
  <c r="AB161" i="5"/>
  <c r="AO156" i="5"/>
  <c r="AJ45" i="5"/>
  <c r="AH171" i="5"/>
  <c r="AO42" i="5"/>
  <c r="AG153" i="5"/>
  <c r="AB155" i="5"/>
  <c r="AI58" i="5"/>
  <c r="AJ180" i="5"/>
  <c r="AA76" i="5"/>
  <c r="Z180" i="5"/>
  <c r="AI37" i="5"/>
  <c r="AN179" i="5"/>
  <c r="G105" i="5"/>
  <c r="AA80" i="5"/>
  <c r="AN169" i="5"/>
  <c r="AN176" i="5"/>
  <c r="AN159" i="5"/>
  <c r="AC54" i="5"/>
  <c r="AE58" i="5"/>
  <c r="AE53" i="5"/>
  <c r="AC53" i="5"/>
  <c r="AM65" i="5"/>
  <c r="AO49" i="5"/>
  <c r="AM93" i="5"/>
  <c r="AF92" i="5"/>
  <c r="AE59" i="5"/>
  <c r="AA95" i="5"/>
  <c r="AH46" i="5"/>
  <c r="AM50" i="5"/>
  <c r="AD58" i="5"/>
  <c r="AN85" i="5"/>
  <c r="AK65" i="5"/>
  <c r="AM103" i="5"/>
  <c r="AC152" i="5"/>
  <c r="AD183" i="5"/>
  <c r="AM76" i="5"/>
  <c r="Z97" i="5"/>
  <c r="E68" i="5"/>
  <c r="Z43" i="5"/>
  <c r="AM56" i="5"/>
  <c r="AD181" i="5"/>
  <c r="Z160" i="5"/>
  <c r="AO100" i="5"/>
  <c r="AA51" i="5"/>
  <c r="AB53" i="5"/>
  <c r="AC42" i="5"/>
  <c r="AO152" i="5"/>
  <c r="AD80" i="5"/>
  <c r="AO91" i="5"/>
  <c r="AB86" i="5"/>
  <c r="AA91" i="5"/>
  <c r="AJ80" i="5"/>
  <c r="S104" i="5"/>
  <c r="AL86" i="5"/>
  <c r="AF172" i="5"/>
  <c r="AK161" i="5"/>
  <c r="Z158" i="5"/>
  <c r="K105" i="5"/>
  <c r="AA96" i="5"/>
  <c r="AF59" i="5"/>
  <c r="AB154" i="5"/>
  <c r="AC174" i="5"/>
  <c r="AN60" i="5"/>
  <c r="AI76" i="5"/>
  <c r="AJ48" i="5"/>
  <c r="V104" i="5"/>
  <c r="AI61" i="5"/>
  <c r="AD167" i="5"/>
  <c r="AM176" i="5"/>
  <c r="AF40" i="5"/>
  <c r="AI152" i="5"/>
  <c r="X104" i="5"/>
  <c r="AI90" i="5"/>
  <c r="AE156" i="5"/>
  <c r="AD90" i="5"/>
  <c r="AH94" i="5"/>
  <c r="AJ175" i="5"/>
  <c r="AL68" i="5"/>
  <c r="AO47" i="5"/>
  <c r="AF52" i="5"/>
  <c r="AE61" i="5"/>
  <c r="AH174" i="5"/>
  <c r="AF156" i="5"/>
  <c r="AE161" i="5"/>
  <c r="H65" i="5"/>
  <c r="AE77" i="5"/>
  <c r="E101" i="5"/>
  <c r="AB56" i="5"/>
  <c r="AC84" i="5"/>
  <c r="AI81" i="5"/>
  <c r="AJ41" i="5"/>
  <c r="AB99" i="5"/>
  <c r="J103" i="5"/>
  <c r="AF169" i="5"/>
  <c r="H102" i="5"/>
  <c r="AI164" i="5"/>
  <c r="AF175" i="5"/>
  <c r="AB48" i="5"/>
  <c r="AE89" i="5"/>
  <c r="AB45" i="5"/>
  <c r="AK97" i="5"/>
  <c r="AL166" i="5"/>
  <c r="AE40" i="5"/>
  <c r="Z64" i="5"/>
  <c r="Z68" i="5"/>
  <c r="AH153" i="5"/>
  <c r="H104" i="5"/>
  <c r="AG42" i="5"/>
  <c r="AL162" i="5"/>
  <c r="AD61" i="5"/>
  <c r="Z48" i="5"/>
  <c r="I103" i="5"/>
  <c r="AJ182" i="5"/>
  <c r="AJ165" i="5"/>
  <c r="AI100" i="5"/>
  <c r="AK82" i="5"/>
  <c r="AI62" i="5"/>
  <c r="AH87" i="5"/>
  <c r="AA90" i="5"/>
  <c r="AL97" i="5"/>
  <c r="AM82" i="5"/>
  <c r="AB51" i="5"/>
  <c r="AJ86" i="5"/>
  <c r="Y104" i="5"/>
  <c r="Z40" i="5"/>
  <c r="AG92" i="5"/>
  <c r="AL80" i="5"/>
  <c r="AL174" i="5"/>
  <c r="AK44" i="5"/>
  <c r="Z79" i="5"/>
  <c r="AF39" i="5"/>
  <c r="Z100" i="5"/>
  <c r="AE88" i="5"/>
  <c r="AK56" i="5"/>
  <c r="AN174" i="5"/>
  <c r="AH177" i="5"/>
  <c r="AK100" i="5"/>
  <c r="AK52" i="5"/>
  <c r="AA157" i="5"/>
  <c r="AO97" i="5"/>
  <c r="T102" i="5"/>
  <c r="Z59" i="5"/>
  <c r="AJ164" i="5"/>
  <c r="AE94" i="5"/>
  <c r="W101" i="5"/>
  <c r="AK156" i="5"/>
  <c r="AH49" i="5"/>
  <c r="AA78" i="5"/>
  <c r="AD157" i="5"/>
  <c r="AN57" i="5"/>
  <c r="AD101" i="5"/>
  <c r="AK85" i="5"/>
  <c r="AO154" i="5"/>
  <c r="AN51" i="5"/>
  <c r="F66" i="5"/>
  <c r="AF97" i="5"/>
  <c r="Z87" i="5"/>
  <c r="AI171" i="5"/>
  <c r="AH61" i="5"/>
  <c r="AN50" i="5"/>
  <c r="AI99" i="5"/>
  <c r="AO174" i="5"/>
  <c r="AN87" i="5"/>
  <c r="AL37" i="5"/>
  <c r="AK167" i="5"/>
  <c r="AJ104" i="5"/>
  <c r="R103" i="5"/>
  <c r="AD176" i="5"/>
  <c r="Z176" i="5"/>
  <c r="AE169" i="5"/>
  <c r="AB52" i="5"/>
  <c r="AO101" i="5"/>
  <c r="AL82" i="5"/>
  <c r="AG177" i="5"/>
  <c r="AF87" i="5"/>
  <c r="AN175" i="5"/>
  <c r="Z168" i="5"/>
  <c r="AG163" i="5"/>
  <c r="K65" i="5"/>
  <c r="AD171" i="5"/>
  <c r="AN165" i="5"/>
  <c r="V102" i="5"/>
  <c r="AB50" i="5"/>
  <c r="Z83" i="5"/>
  <c r="AC169" i="5"/>
  <c r="AJ54" i="5"/>
  <c r="F102" i="5"/>
  <c r="AH101" i="5"/>
  <c r="AH162" i="5"/>
  <c r="AD51" i="5"/>
  <c r="Y65" i="5"/>
  <c r="AM172" i="5"/>
  <c r="AK90" i="5"/>
  <c r="AG74" i="5"/>
  <c r="AG43" i="5"/>
  <c r="G101" i="5"/>
  <c r="P67" i="5"/>
  <c r="AN39" i="5"/>
  <c r="AJ59" i="5"/>
  <c r="AC47" i="5"/>
  <c r="AG65" i="5"/>
  <c r="AO63" i="5"/>
  <c r="AL40" i="5"/>
  <c r="AA54" i="5"/>
  <c r="P102" i="5"/>
  <c r="AE41" i="5"/>
  <c r="AL41" i="5"/>
  <c r="AB79" i="5"/>
  <c r="Y94" i="5"/>
  <c r="AC62" i="5"/>
  <c r="AA77" i="5"/>
  <c r="AO81" i="5"/>
  <c r="AO93" i="5"/>
  <c r="AF152" i="5"/>
  <c r="AA179" i="5"/>
  <c r="AI86" i="5"/>
  <c r="AJ57" i="5"/>
  <c r="AE183" i="5"/>
  <c r="AC57" i="5"/>
  <c r="AC75" i="5"/>
  <c r="AI47" i="5"/>
  <c r="AJ60" i="5"/>
  <c r="AN183" i="5"/>
  <c r="AG90" i="5"/>
  <c r="AM170" i="5"/>
  <c r="AJ53" i="5"/>
  <c r="Z56" i="5"/>
  <c r="AI182" i="5"/>
  <c r="AI38" i="5"/>
  <c r="AJ76" i="5"/>
  <c r="AJ66" i="5"/>
  <c r="AO46" i="5"/>
  <c r="AC154" i="5"/>
  <c r="AK37" i="5"/>
  <c r="AD39" i="5"/>
  <c r="I68" i="5"/>
  <c r="G104" i="5"/>
  <c r="AC183" i="5"/>
  <c r="AN97" i="5"/>
  <c r="AA57" i="5"/>
  <c r="AH154" i="5"/>
  <c r="AE164" i="5"/>
  <c r="AC61" i="5"/>
  <c r="AO62" i="5"/>
  <c r="AF179" i="5"/>
  <c r="Z60" i="5"/>
  <c r="AJ67" i="5"/>
  <c r="AJ166" i="5"/>
  <c r="AL160" i="5"/>
  <c r="AG58" i="5"/>
  <c r="AF55" i="5"/>
  <c r="AG105" i="5"/>
  <c r="AD91" i="5"/>
  <c r="AB58" i="5"/>
  <c r="AO88" i="5"/>
  <c r="Z169" i="5"/>
  <c r="AL183" i="5"/>
  <c r="AK38" i="5"/>
  <c r="AO104" i="5"/>
  <c r="AO68" i="5"/>
  <c r="AC180" i="5"/>
  <c r="AG38" i="5"/>
  <c r="AK83" i="5"/>
  <c r="AA181" i="5"/>
  <c r="AB98" i="5"/>
  <c r="Z51" i="5"/>
  <c r="AF89" i="5"/>
  <c r="AF160" i="5"/>
  <c r="Y83" i="5"/>
  <c r="Z177" i="5"/>
  <c r="H103" i="5"/>
  <c r="Y92" i="5"/>
  <c r="AB41" i="5"/>
  <c r="AK165" i="5"/>
  <c r="AB78" i="5"/>
  <c r="AN88" i="5"/>
  <c r="AF104" i="5"/>
  <c r="P68" i="5"/>
  <c r="AE96" i="5"/>
  <c r="AK101" i="5"/>
  <c r="AE63" i="5"/>
  <c r="J66" i="5"/>
  <c r="AB61" i="5"/>
  <c r="AF65" i="5"/>
  <c r="AA49" i="5"/>
  <c r="AH44" i="5"/>
  <c r="H101" i="5"/>
  <c r="Y82" i="5"/>
  <c r="AJ93" i="5"/>
  <c r="AL91" i="5"/>
  <c r="AD63" i="5"/>
  <c r="L65" i="5"/>
  <c r="AB67" i="5"/>
  <c r="AI104" i="5"/>
  <c r="AC65" i="5"/>
  <c r="H105" i="5"/>
  <c r="AB92" i="5"/>
  <c r="AL76" i="5"/>
  <c r="AD46" i="5"/>
  <c r="AI158" i="5"/>
  <c r="Z54" i="5"/>
  <c r="AO179" i="5"/>
  <c r="AJ169" i="5"/>
  <c r="AN96" i="5"/>
  <c r="E103" i="5"/>
  <c r="AC90" i="5"/>
  <c r="AF161" i="5"/>
  <c r="AA50" i="5"/>
  <c r="AE75" i="5"/>
  <c r="AL163" i="5"/>
  <c r="AE159" i="5"/>
  <c r="AB102" i="5"/>
  <c r="Z157" i="5"/>
  <c r="AH58" i="5"/>
  <c r="AK179" i="5"/>
  <c r="AL75" i="5"/>
  <c r="L67" i="5"/>
  <c r="AJ173" i="5"/>
  <c r="Q104" i="5"/>
  <c r="AE57" i="5"/>
  <c r="AL56" i="5"/>
  <c r="AC92" i="5"/>
  <c r="K66" i="5"/>
  <c r="AD41" i="5"/>
  <c r="Z80" i="5"/>
  <c r="AN89" i="5"/>
  <c r="I101" i="5"/>
  <c r="AO61" i="5"/>
  <c r="AE39" i="5"/>
  <c r="AE85" i="5"/>
  <c r="AL181" i="5"/>
  <c r="X101" i="5"/>
  <c r="AH159" i="5"/>
  <c r="AO166" i="5"/>
  <c r="X105" i="5"/>
  <c r="K102" i="5"/>
  <c r="AG162" i="5"/>
  <c r="AE172" i="5"/>
  <c r="AH68" i="5"/>
  <c r="AK76" i="5"/>
  <c r="Z67" i="5"/>
  <c r="Q67" i="5"/>
  <c r="AD85" i="5"/>
  <c r="AA174" i="5"/>
  <c r="AK64" i="5"/>
  <c r="P101" i="5"/>
  <c r="AG81" i="5"/>
  <c r="AK89" i="5"/>
  <c r="AH180" i="5"/>
  <c r="AD172" i="5"/>
  <c r="Z155" i="5"/>
  <c r="AN62" i="5"/>
  <c r="AA155" i="5"/>
  <c r="AH173" i="5"/>
  <c r="AN67" i="5"/>
  <c r="AH66" i="5"/>
  <c r="AJ56" i="5"/>
  <c r="AG101" i="5"/>
  <c r="Z53" i="5"/>
  <c r="AF45" i="5"/>
  <c r="AD89" i="5"/>
  <c r="AE79" i="5"/>
  <c r="AF94" i="5"/>
  <c r="AD165" i="5"/>
  <c r="M103" i="5"/>
  <c r="AA59" i="5"/>
  <c r="AJ96" i="5"/>
  <c r="G65" i="5"/>
  <c r="AF85" i="5"/>
  <c r="AJ50" i="5"/>
  <c r="AH50" i="5"/>
  <c r="AG170" i="5"/>
  <c r="AB46" i="5"/>
  <c r="AE49" i="5"/>
  <c r="AI79" i="5"/>
  <c r="AF37" i="5"/>
  <c r="AM104" i="5"/>
  <c r="AE46" i="5"/>
  <c r="AE37" i="5"/>
  <c r="AA99" i="5"/>
  <c r="AG50" i="5"/>
  <c r="AA67" i="5"/>
  <c r="AL66" i="5"/>
  <c r="I105" i="5"/>
  <c r="AA104" i="5"/>
  <c r="AK104" i="5"/>
  <c r="AA74" i="5"/>
  <c r="AK39" i="5"/>
  <c r="AH164" i="5"/>
  <c r="AN59" i="5"/>
  <c r="AA75" i="5"/>
  <c r="AN82" i="5"/>
  <c r="AE67" i="5"/>
  <c r="AD103" i="5"/>
  <c r="AD77" i="5"/>
  <c r="AF102" i="5"/>
  <c r="Y88" i="5"/>
  <c r="Z86" i="5"/>
  <c r="AO183" i="5"/>
  <c r="AH166" i="5"/>
  <c r="AI41" i="5"/>
  <c r="AL84" i="5"/>
  <c r="AN48" i="5"/>
  <c r="Z44" i="5"/>
  <c r="AE81" i="5"/>
  <c r="AH170" i="5"/>
  <c r="S65" i="5"/>
  <c r="Y80" i="5"/>
  <c r="AO169" i="5"/>
  <c r="U101" i="5"/>
  <c r="AF105" i="5"/>
  <c r="Y75" i="5"/>
  <c r="AM68" i="5"/>
  <c r="AI53" i="5"/>
  <c r="AK74" i="5"/>
  <c r="AL176" i="5"/>
  <c r="P105" i="5"/>
  <c r="AB179" i="5"/>
  <c r="AF82" i="5"/>
  <c r="AC49" i="5"/>
  <c r="AJ103" i="5"/>
  <c r="AD92" i="5"/>
  <c r="Q68" i="5"/>
  <c r="AN177" i="5"/>
  <c r="Y97" i="5"/>
  <c r="AG96" i="5"/>
  <c r="AM81" i="5"/>
  <c r="AF176" i="5"/>
  <c r="AF100" i="5"/>
  <c r="AE153" i="5"/>
  <c r="AA153" i="5"/>
  <c r="AF182" i="5"/>
  <c r="AD164" i="5"/>
  <c r="AD53" i="5"/>
  <c r="AL177" i="5"/>
  <c r="AM101" i="5"/>
  <c r="AB83" i="5"/>
  <c r="AN63" i="5"/>
  <c r="AC64" i="5"/>
  <c r="AC168" i="5"/>
  <c r="AC81" i="5"/>
  <c r="AL50" i="5"/>
  <c r="AM164" i="5"/>
  <c r="AC165" i="5"/>
  <c r="AC60" i="5"/>
  <c r="M66" i="5"/>
  <c r="AH85" i="5"/>
  <c r="AO59" i="5"/>
  <c r="AN42" i="5"/>
  <c r="AC80" i="5"/>
  <c r="AN74" i="5"/>
  <c r="AE158" i="5"/>
  <c r="AK96" i="5"/>
  <c r="AN100" i="5"/>
  <c r="AD44" i="5"/>
  <c r="P103" i="5"/>
  <c r="AL67" i="5"/>
  <c r="Y79" i="5"/>
  <c r="AM53" i="5"/>
  <c r="AA82" i="5"/>
  <c r="AH99" i="5"/>
  <c r="AG95" i="5"/>
  <c r="AJ154" i="5"/>
  <c r="AM155" i="5"/>
  <c r="AK75" i="5"/>
  <c r="O66" i="5"/>
  <c r="AI87" i="5"/>
  <c r="AC83" i="5"/>
  <c r="AN172" i="5"/>
  <c r="O102" i="5"/>
  <c r="AI181" i="5"/>
  <c r="AD102" i="5"/>
  <c r="AE80" i="5"/>
  <c r="AG78" i="5"/>
  <c r="AH97" i="5"/>
  <c r="AN91" i="5"/>
  <c r="S101" i="5"/>
  <c r="AB101" i="5"/>
  <c r="AK177" i="5"/>
  <c r="AN95" i="5"/>
  <c r="AN86" i="5"/>
  <c r="AE68" i="5"/>
  <c r="AG45" i="5"/>
  <c r="Y103" i="5"/>
  <c r="Z37" i="5"/>
  <c r="M102" i="5"/>
  <c r="AC55" i="5"/>
  <c r="AI75" i="5"/>
  <c r="AA105" i="5"/>
  <c r="AF93" i="5"/>
  <c r="AE105" i="5"/>
  <c r="AJ85" i="5"/>
  <c r="AG91" i="5"/>
  <c r="AK84" i="5"/>
  <c r="AJ177" i="5"/>
  <c r="AF43" i="5"/>
  <c r="AN40" i="5"/>
  <c r="Y81" i="5"/>
  <c r="AM42" i="5"/>
  <c r="AC178" i="5"/>
  <c r="G66" i="5"/>
  <c r="AG40" i="5"/>
  <c r="AB173" i="5"/>
  <c r="AG47" i="5"/>
  <c r="AJ102" i="5"/>
  <c r="AK60" i="5"/>
  <c r="AM83" i="5"/>
  <c r="AL101" i="5"/>
  <c r="AF80" i="5"/>
  <c r="AF165" i="5"/>
  <c r="AO181" i="5"/>
  <c r="AJ84" i="5"/>
  <c r="AA168" i="5"/>
  <c r="AL44" i="5"/>
  <c r="Y86" i="5"/>
  <c r="AN162" i="5"/>
  <c r="AN56" i="5"/>
  <c r="AF48" i="5"/>
  <c r="AL168" i="5"/>
  <c r="Q103" i="5"/>
  <c r="AE165" i="5"/>
  <c r="AN65" i="5"/>
  <c r="AN52" i="5"/>
  <c r="AD37" i="5"/>
  <c r="AO98" i="5"/>
  <c r="AG87" i="5"/>
  <c r="AM162" i="5"/>
  <c r="AJ61" i="5"/>
  <c r="AH37" i="5"/>
  <c r="AN64" i="5"/>
  <c r="AI95" i="5"/>
  <c r="AI92" i="5"/>
  <c r="Z47" i="5"/>
  <c r="AO94" i="5"/>
  <c r="AE90" i="5"/>
  <c r="AC52" i="5"/>
  <c r="Q65" i="5"/>
  <c r="AG103" i="5"/>
  <c r="AK163" i="5"/>
  <c r="AC77" i="5"/>
  <c r="AK48" i="5"/>
  <c r="AH54" i="5"/>
  <c r="AN58" i="5"/>
  <c r="AJ152" i="5"/>
  <c r="AC86" i="5"/>
  <c r="AA87" i="5"/>
  <c r="E66" i="5"/>
  <c r="Z61" i="5"/>
  <c r="AK153" i="5"/>
  <c r="AG157" i="5"/>
  <c r="AK152" i="5"/>
  <c r="V101" i="5"/>
  <c r="AI98" i="5"/>
  <c r="AG161" i="5"/>
  <c r="AH93" i="5"/>
  <c r="E102" i="5"/>
  <c r="AO77" i="5"/>
  <c r="AC105" i="5"/>
  <c r="AN43" i="5"/>
  <c r="AD42" i="5"/>
  <c r="AF96" i="5"/>
  <c r="Z173" i="5"/>
  <c r="W104" i="5"/>
  <c r="O103" i="5"/>
  <c r="AO159" i="5"/>
  <c r="AG61" i="5"/>
  <c r="AM89" i="5"/>
  <c r="AJ77" i="5"/>
  <c r="AC95" i="5"/>
  <c r="AF168" i="5"/>
  <c r="AF99" i="5"/>
  <c r="AL171" i="5"/>
  <c r="AL154" i="5"/>
  <c r="AF67" i="5"/>
  <c r="AM152" i="5"/>
  <c r="AC176" i="5"/>
  <c r="AK168" i="5"/>
  <c r="AE171" i="5"/>
  <c r="AD160" i="5"/>
  <c r="AF177" i="5"/>
  <c r="AM75" i="5"/>
  <c r="AF51" i="5"/>
  <c r="AI94" i="5"/>
  <c r="AB100" i="5"/>
  <c r="AI175" i="5"/>
  <c r="AI78" i="5"/>
  <c r="X68" i="5"/>
  <c r="AH156" i="5"/>
  <c r="AJ62" i="5"/>
  <c r="N67" i="5"/>
  <c r="AF173" i="5"/>
  <c r="AE95" i="5"/>
  <c r="P66" i="5"/>
  <c r="M65" i="5"/>
  <c r="AM183" i="5"/>
  <c r="AD152" i="5"/>
  <c r="AD162" i="5"/>
  <c r="AB37" i="5"/>
  <c r="AK41" i="5"/>
  <c r="AC99" i="5"/>
  <c r="AC182" i="5"/>
  <c r="Z95" i="5"/>
  <c r="AJ68" i="5"/>
  <c r="AO75" i="5"/>
  <c r="AB158" i="5"/>
  <c r="AI67" i="5"/>
  <c r="AA152" i="5"/>
  <c r="AB84" i="5"/>
  <c r="AM80" i="5"/>
  <c r="AK174" i="5"/>
  <c r="AI172" i="5"/>
  <c r="AL157" i="5"/>
  <c r="AM60" i="5"/>
  <c r="AD62" i="5"/>
  <c r="AF181" i="5"/>
  <c r="Z84" i="5"/>
  <c r="AF90" i="5"/>
  <c r="K103" i="5"/>
  <c r="AE84" i="5"/>
  <c r="AM77" i="5"/>
  <c r="AB95" i="5"/>
  <c r="AI51" i="5"/>
  <c r="AN77" i="5"/>
  <c r="U68" i="5"/>
  <c r="Z38" i="5"/>
  <c r="L101" i="5"/>
  <c r="AI102" i="5"/>
  <c r="AN84" i="5"/>
  <c r="AO52" i="5"/>
  <c r="AG62" i="5"/>
  <c r="V105" i="5"/>
  <c r="AB181" i="5"/>
  <c r="AN81" i="5"/>
  <c r="AJ81" i="5"/>
  <c r="AN154" i="5"/>
  <c r="AH88" i="5"/>
  <c r="S105" i="5"/>
  <c r="AC96" i="5"/>
  <c r="AE65" i="5"/>
  <c r="AD97" i="5"/>
  <c r="AK170" i="5"/>
  <c r="AC175" i="5"/>
  <c r="AM85" i="5"/>
  <c r="AC173" i="5"/>
  <c r="AI84" i="5"/>
  <c r="AH98" i="5"/>
  <c r="AN61" i="5"/>
  <c r="AG64" i="5"/>
  <c r="J102" i="5"/>
  <c r="AM182" i="5"/>
  <c r="AK45" i="5"/>
  <c r="O68" i="5"/>
  <c r="AL161" i="5"/>
  <c r="AB183" i="5"/>
  <c r="AK166" i="5"/>
  <c r="AC177" i="5"/>
  <c r="AM84" i="5"/>
  <c r="AO84" i="5"/>
  <c r="AF103" i="5"/>
  <c r="Z88" i="5"/>
  <c r="AK183" i="5"/>
  <c r="AE182" i="5"/>
  <c r="AM52" i="5"/>
  <c r="AA89" i="5"/>
  <c r="AB176" i="5"/>
  <c r="AE64" i="5"/>
  <c r="AM165" i="5"/>
  <c r="AA171" i="5"/>
  <c r="AA45" i="5"/>
  <c r="AB65" i="5"/>
  <c r="AH90" i="5"/>
  <c r="AN47" i="5"/>
  <c r="AM90" i="5"/>
  <c r="AI43" i="5"/>
  <c r="AO58" i="5"/>
  <c r="AB104" i="5"/>
  <c r="AF61" i="5"/>
  <c r="AA102" i="5"/>
  <c r="AA64" i="5"/>
  <c r="AM181" i="5"/>
  <c r="AO172" i="5"/>
  <c r="AB68" i="5"/>
  <c r="AC37" i="5"/>
  <c r="Y76" i="5"/>
  <c r="AA42" i="5"/>
  <c r="Z101" i="5"/>
  <c r="AJ176" i="5"/>
  <c r="Y95" i="5"/>
  <c r="AF163" i="5"/>
  <c r="AN166" i="5"/>
  <c r="AA85" i="5"/>
  <c r="AB165" i="5"/>
  <c r="E105" i="5"/>
  <c r="F101" i="5"/>
  <c r="AN80" i="5"/>
  <c r="AB82" i="5"/>
  <c r="AI46" i="5"/>
  <c r="AD95" i="5"/>
  <c r="AO160" i="5"/>
  <c r="AH165" i="5"/>
  <c r="U102" i="5"/>
  <c r="L104" i="5"/>
  <c r="AE56" i="5"/>
  <c r="AI178" i="5"/>
  <c r="Z156" i="5"/>
  <c r="AD59" i="5"/>
  <c r="AD83" i="5"/>
  <c r="Z94" i="5"/>
  <c r="AN54" i="5"/>
  <c r="AJ99" i="5"/>
  <c r="AM37" i="5"/>
  <c r="AN45" i="5"/>
  <c r="F105" i="5"/>
  <c r="AI56" i="5"/>
  <c r="R105" i="5"/>
  <c r="AB96" i="5"/>
  <c r="AK55" i="5"/>
  <c r="AM159" i="5"/>
  <c r="AG169" i="5"/>
  <c r="AH181" i="5"/>
  <c r="AC164" i="5"/>
  <c r="Y84" i="5"/>
  <c r="AH56" i="5"/>
  <c r="AB170" i="5"/>
  <c r="AN182" i="5"/>
  <c r="AH76" i="5"/>
  <c r="AN173" i="5"/>
  <c r="AD49" i="5"/>
  <c r="AM167" i="5"/>
  <c r="AF101" i="5"/>
  <c r="AM92" i="5"/>
  <c r="V68" i="5"/>
  <c r="AH47" i="5"/>
  <c r="AA68" i="5"/>
  <c r="AN49" i="5"/>
  <c r="AO43" i="5"/>
  <c r="AA46" i="5"/>
  <c r="AD161" i="5"/>
  <c r="AG179" i="5"/>
  <c r="U104" i="5"/>
  <c r="AH100" i="5"/>
  <c r="AH179" i="5"/>
  <c r="AD163" i="5"/>
  <c r="AD94" i="5"/>
  <c r="AB87" i="5"/>
  <c r="AH160" i="5"/>
  <c r="AJ178" i="5"/>
  <c r="AM153" i="5"/>
  <c r="AB76" i="5"/>
  <c r="AE47" i="5"/>
  <c r="AE174" i="5"/>
  <c r="AI101" i="5"/>
  <c r="AL100" i="5"/>
  <c r="AF62" i="5"/>
  <c r="AG56" i="5"/>
  <c r="AE83" i="5"/>
  <c r="Y98" i="5"/>
  <c r="AN92" i="5"/>
  <c r="AF155" i="5"/>
  <c r="AC94" i="5"/>
  <c r="L68" i="5"/>
  <c r="K68" i="5"/>
  <c r="R101" i="5"/>
  <c r="AM58" i="5"/>
  <c r="AC87" i="5"/>
  <c r="AF153" i="5"/>
  <c r="AL57" i="5"/>
  <c r="AG175" i="5"/>
  <c r="T104" i="5"/>
  <c r="AJ75" i="5"/>
  <c r="AB49" i="5"/>
  <c r="AH59" i="5"/>
  <c r="AC156" i="5"/>
  <c r="AO83" i="5"/>
  <c r="AE42" i="5"/>
  <c r="W105" i="5"/>
  <c r="AL39" i="5"/>
  <c r="AO64" i="5"/>
  <c r="AE92" i="5"/>
  <c r="AB174" i="5"/>
  <c r="G103" i="5"/>
  <c r="AG83" i="5"/>
  <c r="AN170" i="5"/>
  <c r="Z174" i="5"/>
  <c r="AC171" i="5"/>
  <c r="N102" i="5"/>
  <c r="AH89" i="5"/>
  <c r="O65" i="5"/>
  <c r="AJ52" i="5"/>
  <c r="AM40" i="5"/>
  <c r="AB77" i="5"/>
  <c r="Y87" i="5"/>
  <c r="AL88" i="5"/>
  <c r="AI103" i="5"/>
  <c r="T65" i="5"/>
  <c r="AD177" i="5"/>
  <c r="AG49" i="5"/>
  <c r="AB159" i="5"/>
  <c r="AJ87" i="5"/>
  <c r="G67" i="5"/>
  <c r="Z167" i="5"/>
  <c r="AB44" i="5"/>
  <c r="AM86" i="5"/>
  <c r="AI163" i="5"/>
  <c r="AC41" i="5"/>
  <c r="AC102" i="5"/>
  <c r="AN46" i="5"/>
  <c r="AK68" i="5"/>
  <c r="AH64" i="5"/>
  <c r="AB103" i="5"/>
  <c r="AO57" i="5"/>
  <c r="AA83" i="5"/>
  <c r="AC100" i="5"/>
  <c r="AJ97" i="5"/>
  <c r="AM98" i="5"/>
  <c r="AH167" i="5"/>
  <c r="X102" i="5"/>
  <c r="R65" i="5"/>
  <c r="Z154" i="5"/>
  <c r="AN93" i="5"/>
  <c r="AG180" i="5"/>
  <c r="J68" i="5"/>
  <c r="AM67" i="5"/>
  <c r="AO51" i="5"/>
  <c r="AC103" i="5"/>
  <c r="R67" i="5"/>
  <c r="AF157" i="5"/>
  <c r="AL179" i="5"/>
  <c r="Z46" i="5"/>
  <c r="E65" i="5"/>
  <c r="AB163" i="5"/>
  <c r="AD74" i="5"/>
  <c r="AO96" i="5"/>
  <c r="AB182" i="5"/>
  <c r="AK158" i="5"/>
  <c r="AG44" i="5"/>
  <c r="AA79" i="5"/>
  <c r="AE55" i="5"/>
  <c r="AK176" i="5"/>
  <c r="AE154" i="5"/>
  <c r="AG39" i="5"/>
  <c r="AE103" i="5"/>
  <c r="AM39" i="5"/>
  <c r="Z50" i="5"/>
  <c r="AI44" i="5"/>
  <c r="AH40" i="5"/>
  <c r="AG51" i="5"/>
  <c r="AO67" i="5"/>
  <c r="AL81" i="5"/>
  <c r="AG178" i="5"/>
  <c r="AA176" i="5"/>
  <c r="AO38" i="5"/>
  <c r="AG93" i="5"/>
  <c r="AB89" i="5"/>
  <c r="AK61" i="5"/>
  <c r="Z78" i="5"/>
  <c r="AN94" i="5"/>
  <c r="M101" i="5"/>
  <c r="AL51" i="5"/>
  <c r="AL45" i="5"/>
  <c r="AG79" i="5"/>
  <c r="AG155" i="5"/>
  <c r="Z170" i="5"/>
  <c r="Z104" i="5"/>
  <c r="AK160" i="5"/>
  <c r="AC167" i="5"/>
  <c r="AG67" i="5"/>
  <c r="AI180" i="5"/>
  <c r="AC181" i="5"/>
  <c r="Z159" i="5"/>
  <c r="AC78" i="5"/>
  <c r="AA161" i="5"/>
  <c r="AM169" i="5"/>
  <c r="AE181" i="5"/>
  <c r="Z179" i="5"/>
  <c r="AE52" i="5"/>
  <c r="AB164" i="5"/>
  <c r="AH95" i="5"/>
  <c r="Q101" i="5"/>
  <c r="AK66" i="5"/>
  <c r="AM158" i="5"/>
  <c r="AD179" i="5"/>
  <c r="AO95" i="5"/>
  <c r="AA88" i="5"/>
  <c r="AK102" i="5"/>
  <c r="Z162" i="5"/>
  <c r="AB152" i="5"/>
  <c r="AM38" i="5"/>
  <c r="AD60" i="5"/>
  <c r="AL153" i="5"/>
  <c r="AD79" i="5"/>
  <c r="AO82" i="5"/>
  <c r="O104" i="5"/>
  <c r="AB160" i="5"/>
  <c r="AJ95" i="5"/>
  <c r="AH60" i="5"/>
  <c r="AK91" i="5"/>
  <c r="AO173" i="5"/>
  <c r="Z77" i="5"/>
  <c r="AK47" i="5"/>
  <c r="N68" i="5"/>
  <c r="AL182" i="5"/>
  <c r="AI88" i="5"/>
  <c r="AE45" i="5"/>
  <c r="AL180" i="5"/>
  <c r="AG63" i="5"/>
  <c r="N103" i="5"/>
  <c r="AO44" i="5"/>
  <c r="X103" i="5"/>
  <c r="AG54" i="5"/>
  <c r="AO92" i="5"/>
  <c r="AG166" i="5"/>
  <c r="AD75" i="5"/>
  <c r="AF42" i="5"/>
  <c r="Z105" i="5"/>
  <c r="AD81" i="5"/>
  <c r="AI97" i="5"/>
  <c r="AG75" i="5"/>
  <c r="AN164" i="5"/>
  <c r="AK103" i="5"/>
  <c r="AJ183" i="5"/>
  <c r="AM55" i="5"/>
  <c r="Z42" i="5"/>
  <c r="AD159" i="5"/>
  <c r="AC67" i="5"/>
  <c r="AJ39" i="5"/>
  <c r="AK175" i="5"/>
  <c r="AF64" i="5"/>
  <c r="AF66" i="5"/>
  <c r="AG94" i="5"/>
  <c r="AL58" i="5"/>
  <c r="AG165" i="5"/>
  <c r="AF83" i="5"/>
  <c r="AG100" i="5"/>
  <c r="AB105" i="5"/>
  <c r="AJ89" i="5"/>
  <c r="AB66" i="5"/>
  <c r="AH42" i="5"/>
  <c r="AL43" i="5"/>
  <c r="AD50" i="5"/>
  <c r="AO74" i="5"/>
  <c r="Q105" i="5"/>
  <c r="AB157" i="5"/>
  <c r="AN90" i="5"/>
  <c r="AJ92" i="5"/>
  <c r="AC40" i="5"/>
  <c r="AF164" i="5"/>
  <c r="AL47" i="5"/>
  <c r="AI105" i="5"/>
  <c r="L102" i="5"/>
  <c r="AB177" i="5"/>
  <c r="AD76" i="5"/>
  <c r="Z163" i="5"/>
  <c r="N105" i="5"/>
  <c r="AE76" i="5"/>
  <c r="AF158" i="5"/>
  <c r="AE180" i="5"/>
  <c r="Y85" i="5"/>
  <c r="AD168" i="5"/>
  <c r="AE177" i="5"/>
  <c r="AO168" i="5"/>
  <c r="AN157" i="5"/>
  <c r="X66" i="5"/>
  <c r="AA53" i="5"/>
  <c r="AI166" i="5"/>
  <c r="AI169" i="5"/>
  <c r="Y93" i="5"/>
  <c r="AD38" i="5"/>
  <c r="AM99" i="5"/>
  <c r="AK95" i="5"/>
  <c r="F67" i="5"/>
  <c r="AC104" i="5"/>
  <c r="AL92" i="5"/>
  <c r="AO158" i="5"/>
  <c r="AD170" i="5"/>
  <c r="AL61" i="5"/>
  <c r="Z74" i="5"/>
  <c r="AL156" i="5"/>
  <c r="AG173" i="5"/>
  <c r="AA173" i="5"/>
  <c r="AJ105" i="5"/>
  <c r="AO66" i="5"/>
  <c r="AK57" i="5"/>
  <c r="AJ181" i="5"/>
  <c r="AI49" i="5"/>
  <c r="W68" i="5"/>
  <c r="AC101" i="5"/>
  <c r="AB63" i="5"/>
  <c r="Y67" i="5"/>
  <c r="AM78" i="5"/>
  <c r="AO103" i="5"/>
  <c r="AG98" i="5"/>
  <c r="AO48" i="5"/>
  <c r="AJ64" i="5"/>
  <c r="AG41" i="5"/>
  <c r="AG159" i="5"/>
  <c r="AE43" i="5"/>
  <c r="AN105" i="5"/>
  <c r="AM105" i="5"/>
  <c r="AI168" i="5"/>
  <c r="AC179" i="5"/>
  <c r="AK81" i="5"/>
  <c r="AA40" i="5"/>
  <c r="Y74" i="5"/>
  <c r="AJ83" i="5"/>
  <c r="AC160" i="5"/>
  <c r="Z89" i="5"/>
  <c r="AM157" i="5"/>
  <c r="AK94" i="5"/>
  <c r="AK79" i="5"/>
  <c r="AI60" i="5"/>
  <c r="Z181" i="5"/>
  <c r="AA52" i="5"/>
  <c r="T101" i="5"/>
  <c r="AD65" i="5"/>
  <c r="AM79" i="5"/>
  <c r="Z103" i="5"/>
  <c r="AH91" i="5"/>
  <c r="AL158" i="5"/>
  <c r="AE62" i="5"/>
  <c r="AN37" i="5"/>
  <c r="AB93" i="5"/>
  <c r="AC159" i="5"/>
  <c r="AH65" i="5"/>
  <c r="AE91" i="5"/>
  <c r="AH62" i="5"/>
  <c r="AG52" i="5"/>
  <c r="AB167" i="5"/>
  <c r="AA167" i="5"/>
  <c r="AL60" i="5"/>
  <c r="AF41" i="5"/>
  <c r="AL175" i="5"/>
  <c r="AG176" i="5"/>
  <c r="AI66" i="5"/>
  <c r="AH152" i="5"/>
  <c r="AO165" i="5"/>
  <c r="Z99" i="5"/>
  <c r="AN102" i="5"/>
  <c r="W65" i="5"/>
  <c r="AG55" i="5"/>
  <c r="AK105" i="5"/>
  <c r="AG48" i="5"/>
  <c r="AI96" i="5"/>
  <c r="AM66" i="5"/>
  <c r="AD45" i="5"/>
  <c r="AH155" i="5"/>
  <c r="AF56" i="5"/>
  <c r="AD180" i="5"/>
  <c r="AD86" i="5"/>
  <c r="AD155" i="5"/>
  <c r="AN160" i="5"/>
  <c r="AN161" i="5"/>
  <c r="AK80" i="5"/>
  <c r="R68" i="5"/>
  <c r="Z172" i="5"/>
  <c r="AK49" i="5"/>
  <c r="Z66" i="5"/>
  <c r="AH52" i="5"/>
  <c r="AF159" i="5"/>
  <c r="AE93" i="5"/>
  <c r="AE157" i="5"/>
  <c r="AF171" i="5"/>
  <c r="AF77" i="5"/>
  <c r="AD156" i="5"/>
  <c r="I67" i="5"/>
  <c r="AA163" i="5"/>
  <c r="AI157" i="5"/>
  <c r="Z57" i="5"/>
  <c r="AJ40" i="5"/>
  <c r="AG97" i="5"/>
  <c r="AE178" i="5"/>
  <c r="AM161" i="5"/>
  <c r="V66" i="5"/>
  <c r="AE60" i="5"/>
  <c r="AJ161" i="5"/>
  <c r="O105" i="5"/>
  <c r="AI42" i="5"/>
  <c r="AC88" i="5"/>
  <c r="AE82" i="5"/>
  <c r="AB169" i="5"/>
  <c r="AG59" i="5"/>
  <c r="AM48" i="5"/>
  <c r="AO153" i="5"/>
  <c r="AL62" i="5"/>
  <c r="AN38" i="5"/>
  <c r="AJ163" i="5"/>
  <c r="AD67" i="5"/>
  <c r="AM174" i="5"/>
  <c r="AO177" i="5"/>
  <c r="AI153" i="5"/>
  <c r="AG104" i="5"/>
  <c r="AA61" i="5"/>
  <c r="AJ46" i="5"/>
  <c r="AN78" i="5"/>
  <c r="P65" i="5"/>
  <c r="AH163" i="5"/>
  <c r="AG181" i="5"/>
  <c r="AH78" i="5"/>
  <c r="AO167" i="5"/>
  <c r="W66" i="5"/>
  <c r="T67" i="5"/>
  <c r="W102" i="5"/>
  <c r="AC50" i="5"/>
  <c r="AE86" i="5"/>
  <c r="AD88" i="5"/>
  <c r="AL165" i="5"/>
  <c r="AK164" i="5"/>
  <c r="AH183" i="5"/>
  <c r="AI85" i="5"/>
  <c r="AE179" i="5"/>
  <c r="AC155" i="5"/>
  <c r="U105" i="5"/>
  <c r="AA159" i="5"/>
  <c r="Y90" i="5"/>
  <c r="AB162" i="5"/>
  <c r="AM41" i="5"/>
  <c r="AD96" i="5"/>
  <c r="AN167" i="5"/>
  <c r="AM96" i="5"/>
  <c r="AI59" i="5"/>
  <c r="AK77" i="5"/>
  <c r="AD99" i="5"/>
  <c r="AJ153" i="5"/>
  <c r="X67" i="5"/>
  <c r="AI64" i="5"/>
  <c r="AO178" i="5"/>
  <c r="AA93" i="5"/>
  <c r="AA182" i="5"/>
  <c r="AK159" i="5"/>
  <c r="I102" i="5"/>
  <c r="AI176" i="5"/>
  <c r="AL46" i="5"/>
  <c r="AM166" i="5"/>
  <c r="AL169" i="5"/>
  <c r="AE100" i="5"/>
  <c r="AF44" i="5"/>
  <c r="Z90" i="5"/>
  <c r="AG68" i="5"/>
  <c r="AC97" i="5"/>
  <c r="AB54" i="5"/>
  <c r="AM100" i="5"/>
  <c r="AE162" i="5"/>
  <c r="AD174" i="5"/>
  <c r="AI50" i="5"/>
  <c r="AN53" i="5"/>
  <c r="AC157" i="5"/>
  <c r="AB94" i="5"/>
  <c r="AM180" i="5"/>
  <c r="AD87" i="5"/>
  <c r="AD93" i="5"/>
  <c r="Z91" i="5"/>
  <c r="AJ171" i="5"/>
  <c r="AA160" i="5"/>
  <c r="AI52" i="5"/>
  <c r="AH103" i="5"/>
  <c r="AO85" i="5"/>
  <c r="AN83" i="5"/>
  <c r="AB38" i="5"/>
  <c r="T68" i="5"/>
  <c r="L66" i="5"/>
  <c r="AM51" i="5"/>
  <c r="AE97" i="5"/>
  <c r="AC98" i="5"/>
  <c r="AI74" i="5"/>
  <c r="U103" i="5"/>
  <c r="AI155" i="5"/>
  <c r="AH92" i="5"/>
  <c r="AM175" i="5"/>
  <c r="AB91" i="5"/>
  <c r="AK58" i="5"/>
  <c r="AH53" i="5"/>
  <c r="AH43" i="5"/>
  <c r="H67" i="5"/>
  <c r="AK157" i="5"/>
  <c r="AL105" i="5"/>
  <c r="AF76" i="5"/>
  <c r="AL90" i="5"/>
  <c r="AL52" i="5"/>
  <c r="AO56" i="5"/>
  <c r="AL53" i="5"/>
  <c r="AJ58" i="5"/>
  <c r="AF81" i="5"/>
  <c r="AF95" i="5"/>
  <c r="AI54" i="5"/>
  <c r="AB168" i="5"/>
  <c r="AF46" i="5"/>
  <c r="AO45" i="5"/>
  <c r="AK63" i="5"/>
  <c r="AO39" i="5"/>
  <c r="AB90" i="5"/>
  <c r="AD55" i="5"/>
  <c r="AD178" i="5"/>
  <c r="AE102" i="5"/>
  <c r="AN55" i="5"/>
  <c r="AE66" i="5"/>
  <c r="AN152" i="5"/>
  <c r="AA172" i="5"/>
  <c r="AC85" i="5"/>
  <c r="AL87" i="5"/>
  <c r="J104" i="5"/>
  <c r="AI82" i="5"/>
  <c r="AH102" i="5"/>
  <c r="AG84" i="5"/>
  <c r="AH168" i="5"/>
  <c r="AL79" i="5"/>
  <c r="AK155" i="5"/>
  <c r="AI159" i="5"/>
  <c r="AA98" i="5"/>
  <c r="Z82" i="5"/>
  <c r="AB59" i="5"/>
  <c r="AK99" i="5"/>
  <c r="AA81" i="5"/>
  <c r="AE99" i="5"/>
  <c r="AB74" i="5"/>
  <c r="AA158" i="5"/>
  <c r="L103" i="5"/>
  <c r="AC172" i="5"/>
  <c r="AN158" i="5"/>
  <c r="S102" i="5"/>
  <c r="AA47" i="5"/>
  <c r="AA92" i="5"/>
  <c r="AE104" i="5"/>
  <c r="J105" i="5"/>
  <c r="AL63" i="5"/>
  <c r="AA56" i="5"/>
  <c r="AI183" i="5"/>
  <c r="AO155" i="5"/>
  <c r="AB60" i="5"/>
  <c r="AE155" i="5"/>
  <c r="AA38" i="5"/>
  <c r="AA165" i="5"/>
  <c r="AE160" i="5"/>
  <c r="AH75" i="5"/>
  <c r="S66" i="5"/>
  <c r="AF167" i="5"/>
  <c r="AN76" i="5"/>
  <c r="F68" i="5"/>
  <c r="AB75" i="5"/>
  <c r="AK98" i="5"/>
  <c r="AO41" i="5"/>
  <c r="AM179" i="5"/>
  <c r="AO37" i="5"/>
  <c r="AH80" i="5"/>
  <c r="AA44" i="5"/>
  <c r="AD66" i="5"/>
  <c r="AC170" i="5"/>
  <c r="AH38" i="5"/>
  <c r="AA58" i="5"/>
  <c r="S103" i="5"/>
  <c r="AC58" i="5"/>
  <c r="AH57" i="5"/>
  <c r="AM64" i="5"/>
  <c r="Z161" i="5"/>
  <c r="AO157" i="5"/>
  <c r="AO90" i="5"/>
  <c r="AM154" i="5"/>
  <c r="AN168" i="5"/>
  <c r="AK43" i="5"/>
  <c r="AL155" i="5"/>
  <c r="AH77" i="5"/>
  <c r="AA86" i="5"/>
  <c r="AA177" i="5"/>
  <c r="AJ94" i="5"/>
  <c r="AG160" i="5"/>
  <c r="V65" i="5"/>
  <c r="AL54" i="5"/>
  <c r="AF74" i="5"/>
  <c r="AI83" i="5"/>
  <c r="AN41" i="5"/>
  <c r="AN66" i="5"/>
  <c r="Y102" i="5"/>
  <c r="AG172" i="5"/>
  <c r="AD169" i="5"/>
  <c r="AL93" i="5"/>
  <c r="AM173" i="5"/>
  <c r="AO99" i="5"/>
  <c r="K104" i="5"/>
  <c r="AK87" i="5"/>
  <c r="AB180" i="5"/>
  <c r="Y77" i="5"/>
  <c r="Z153" i="5"/>
  <c r="AJ79" i="5"/>
  <c r="E104" i="5"/>
  <c r="AC45" i="5"/>
  <c r="AA84" i="5"/>
  <c r="AI161" i="5"/>
  <c r="AJ167" i="5"/>
  <c r="AI63" i="5"/>
  <c r="O101" i="5"/>
  <c r="AF60" i="5"/>
  <c r="AA169" i="5"/>
  <c r="AO171" i="5"/>
  <c r="H66" i="5"/>
  <c r="AH55" i="5"/>
  <c r="AG66" i="5"/>
  <c r="AI91" i="5"/>
  <c r="AJ91" i="5"/>
  <c r="AK178" i="5"/>
  <c r="J65" i="5"/>
  <c r="AH176" i="5"/>
  <c r="AD78" i="5"/>
  <c r="AL103" i="5"/>
  <c r="AL89" i="5"/>
  <c r="Z41" i="5"/>
  <c r="AI93" i="5"/>
  <c r="AO78" i="5"/>
  <c r="AC76" i="5"/>
  <c r="Z58" i="5"/>
  <c r="AG53" i="5"/>
  <c r="AN79" i="5"/>
  <c r="AK182" i="5"/>
  <c r="T105" i="5"/>
  <c r="G68" i="5"/>
  <c r="Z63" i="5"/>
  <c r="AE152" i="5"/>
  <c r="AE166" i="5"/>
  <c r="V67" i="5"/>
  <c r="AI179" i="5"/>
  <c r="Y99" i="5"/>
  <c r="AN99" i="5"/>
  <c r="AI165" i="5"/>
  <c r="AK180" i="5"/>
  <c r="N65" i="5"/>
  <c r="AD105" i="5"/>
  <c r="AB85" i="5"/>
  <c r="AM88" i="5"/>
  <c r="AG156" i="5"/>
  <c r="AA43" i="5"/>
  <c r="Y101" i="5"/>
  <c r="AO176" i="5"/>
  <c r="Z39" i="5"/>
  <c r="AE51" i="5"/>
  <c r="AG174" i="5"/>
  <c r="AD173" i="5"/>
  <c r="AI45" i="5"/>
  <c r="AA97" i="5"/>
  <c r="AF75" i="5"/>
  <c r="AO102" i="5"/>
  <c r="AH81" i="5"/>
  <c r="AA175" i="5"/>
  <c r="Z93" i="5"/>
  <c r="S67" i="5"/>
  <c r="AJ37" i="5"/>
  <c r="AM97" i="5"/>
  <c r="AG171" i="5"/>
  <c r="AM94" i="5"/>
  <c r="AB88" i="5"/>
  <c r="AM45" i="5"/>
  <c r="AA154" i="5"/>
  <c r="AC74" i="5"/>
  <c r="AB178" i="5"/>
  <c r="N101" i="5"/>
  <c r="AI80" i="5"/>
  <c r="AJ90" i="5"/>
  <c r="Z92" i="5"/>
  <c r="AM91" i="5"/>
  <c r="AD158" i="5"/>
  <c r="AL173" i="5"/>
  <c r="AM74" i="5"/>
  <c r="AD153" i="5"/>
  <c r="AJ98" i="5"/>
  <c r="AF170" i="5"/>
  <c r="Z98" i="5"/>
  <c r="AC59" i="5"/>
  <c r="Z55" i="5"/>
  <c r="AD182" i="5"/>
  <c r="AA37" i="5"/>
  <c r="AO170" i="5"/>
  <c r="AH96" i="5"/>
  <c r="AH178" i="5"/>
  <c r="AJ55" i="5"/>
  <c r="AJ158" i="5"/>
  <c r="AM171" i="5"/>
  <c r="AH41" i="5"/>
  <c r="AO60" i="5"/>
  <c r="AG86" i="5"/>
  <c r="AK46" i="5"/>
  <c r="AJ170" i="5"/>
  <c r="AC161" i="5"/>
  <c r="AE98" i="5"/>
  <c r="AH45" i="5"/>
  <c r="AO164" i="5"/>
  <c r="AJ43" i="5"/>
  <c r="AJ51" i="5"/>
  <c r="AI77" i="5"/>
  <c r="AE176" i="5"/>
  <c r="AG183" i="5"/>
  <c r="Z165" i="5"/>
  <c r="AJ162" i="5"/>
  <c r="AF50" i="5"/>
  <c r="AO40" i="5"/>
  <c r="AF88" i="5"/>
  <c r="AF58" i="5"/>
  <c r="AA103" i="5"/>
  <c r="R66" i="5"/>
  <c r="Q66" i="5"/>
  <c r="M67" i="5"/>
  <c r="O67" i="5"/>
  <c r="AN155" i="5"/>
  <c r="AL77" i="5"/>
  <c r="AK62" i="5"/>
  <c r="Z182" i="5"/>
  <c r="AM95" i="5"/>
  <c r="AJ160" i="5"/>
  <c r="AG154" i="5"/>
  <c r="U66" i="5"/>
  <c r="AC82" i="5"/>
  <c r="AD64" i="5"/>
  <c r="AN178" i="5"/>
  <c r="AM46" i="5"/>
  <c r="AN103" i="5"/>
  <c r="AA41" i="5"/>
  <c r="AM177" i="5"/>
  <c r="AM168" i="5"/>
  <c r="E67" i="5"/>
  <c r="AJ88" i="5"/>
  <c r="AE50" i="5"/>
  <c r="Z45" i="5"/>
  <c r="AD56" i="5"/>
  <c r="AD166" i="5"/>
  <c r="AN44" i="5"/>
  <c r="AF166" i="5"/>
  <c r="H68" i="5"/>
  <c r="AO87" i="5"/>
  <c r="AL59" i="5"/>
  <c r="AM43" i="5"/>
  <c r="AL164" i="5"/>
  <c r="AO89" i="5"/>
  <c r="AO163" i="5"/>
  <c r="AB47" i="5"/>
  <c r="AJ47" i="5"/>
  <c r="AE44" i="5"/>
  <c r="AG158" i="5"/>
  <c r="AL96" i="5"/>
  <c r="AI39" i="5"/>
  <c r="AA63" i="5"/>
  <c r="AK154" i="5"/>
  <c r="AA183" i="5"/>
  <c r="AK59" i="5"/>
  <c r="AI177" i="5"/>
  <c r="AJ168" i="5"/>
  <c r="I65" i="5"/>
  <c r="AE168" i="5"/>
  <c r="AA65" i="5"/>
  <c r="AH67" i="5"/>
  <c r="S68" i="5"/>
  <c r="AA170" i="5"/>
  <c r="AF49" i="5"/>
  <c r="AN156" i="5"/>
  <c r="Z76" i="5"/>
  <c r="Y66" i="5"/>
  <c r="AI160" i="5"/>
  <c r="AH158" i="5"/>
  <c r="AJ74" i="5"/>
  <c r="AL55" i="5"/>
  <c r="AL159" i="5"/>
  <c r="AB156" i="5"/>
  <c r="AK88" i="5"/>
  <c r="AA66" i="5"/>
  <c r="AC163" i="5"/>
  <c r="AF68" i="5"/>
  <c r="AC66" i="5"/>
  <c r="AL38" i="5"/>
  <c r="AB171" i="5"/>
  <c r="Y89" i="5"/>
  <c r="AE175" i="5"/>
  <c r="Y68" i="5"/>
  <c r="AO79" i="5"/>
  <c r="Z175" i="5"/>
  <c r="AH182" i="5"/>
  <c r="AL65" i="5"/>
  <c r="AJ63" i="5"/>
  <c r="AJ78" i="5"/>
  <c r="AO182" i="5"/>
  <c r="AL83" i="5"/>
  <c r="AD57" i="5"/>
  <c r="AD104" i="5"/>
  <c r="AH63" i="5"/>
  <c r="F65" i="5"/>
  <c r="AA101" i="5"/>
  <c r="AD68" i="5"/>
  <c r="J101" i="5"/>
  <c r="AJ101" i="5"/>
  <c r="R104" i="5"/>
  <c r="AM163" i="5"/>
  <c r="AM178" i="5"/>
  <c r="AC68" i="5"/>
  <c r="AB40" i="5"/>
  <c r="AM47" i="5"/>
  <c r="AK171" i="5"/>
  <c r="Z52" i="5"/>
  <c r="AJ38" i="5"/>
  <c r="AC48" i="5"/>
  <c r="AK50" i="5"/>
  <c r="AA60" i="5"/>
  <c r="AH175" i="5"/>
  <c r="AH157" i="5"/>
  <c r="AB55" i="5"/>
  <c r="AE87" i="5"/>
  <c r="AJ82" i="5"/>
  <c r="AC46" i="5"/>
  <c r="AF38" i="5"/>
  <c r="AG168" i="5"/>
  <c r="AK54" i="5"/>
  <c r="AG57" i="5"/>
  <c r="AC79" i="5"/>
  <c r="AG102" i="5"/>
  <c r="AH105" i="5"/>
  <c r="AB172" i="5"/>
  <c r="M68" i="5"/>
  <c r="U67" i="5"/>
  <c r="Z62" i="5"/>
  <c r="AJ156" i="5"/>
  <c r="AF162" i="5"/>
  <c r="AA162" i="5"/>
  <c r="AG85" i="5"/>
  <c r="AI65" i="5"/>
  <c r="W67" i="5"/>
  <c r="AI174" i="5"/>
  <c r="AL85" i="5"/>
  <c r="AG99" i="5"/>
  <c r="AO55" i="5"/>
  <c r="AG37" i="5"/>
  <c r="AH48" i="5"/>
  <c r="AC93" i="5"/>
  <c r="AD40" i="5"/>
  <c r="K67" i="5"/>
  <c r="AM54" i="5"/>
  <c r="AK67" i="5"/>
  <c r="W103" i="5"/>
  <c r="AC56" i="5"/>
  <c r="AG88" i="5"/>
  <c r="Z152" i="5"/>
  <c r="AN180" i="5"/>
  <c r="AI173" i="5"/>
  <c r="AO86" i="5"/>
  <c r="AH39" i="5"/>
  <c r="AC51" i="5"/>
  <c r="AD84" i="5"/>
  <c r="AF91" i="5"/>
  <c r="AE54" i="5"/>
  <c r="AD48" i="5"/>
  <c r="Z183" i="5"/>
  <c r="AM87" i="5"/>
  <c r="AL178" i="5"/>
  <c r="AG60" i="5"/>
  <c r="AH169" i="5"/>
  <c r="AC38" i="5"/>
  <c r="AO76" i="5"/>
  <c r="AA48" i="5"/>
  <c r="AO65" i="5"/>
  <c r="AM62" i="5"/>
  <c r="AL152" i="5"/>
  <c r="K101" i="5"/>
  <c r="AK172" i="5"/>
  <c r="AC43" i="5"/>
  <c r="AN163" i="5"/>
  <c r="Z81" i="5"/>
  <c r="Z102" i="5"/>
  <c r="AL78" i="5"/>
  <c r="AC162" i="5"/>
  <c r="X65" i="5"/>
  <c r="AF78" i="5"/>
  <c r="AA55" i="5"/>
  <c r="AH83" i="5"/>
  <c r="AE170" i="5"/>
  <c r="AG82" i="5"/>
  <c r="AA100" i="5"/>
  <c r="AL48" i="5"/>
  <c r="AN181" i="5"/>
  <c r="AL42" i="5"/>
  <c r="AA62" i="5"/>
  <c r="Y100" i="5"/>
  <c r="AK92" i="5"/>
  <c r="F104" i="5"/>
  <c r="AG80" i="5"/>
  <c r="AG46" i="5"/>
  <c r="AI55" i="5"/>
  <c r="AH74" i="5"/>
  <c r="AA156" i="5"/>
  <c r="AE167" i="5"/>
  <c r="AD54" i="5"/>
  <c r="AL64" i="5"/>
  <c r="AF174" i="5"/>
  <c r="AH161" i="5"/>
  <c r="AI48" i="5"/>
  <c r="AE78" i="5"/>
  <c r="Z166" i="5"/>
  <c r="AI156" i="5"/>
  <c r="AI89" i="5"/>
  <c r="AA164" i="5"/>
  <c r="AA178" i="5"/>
  <c r="Y105" i="5"/>
  <c r="AO161" i="5"/>
  <c r="Y91" i="5"/>
  <c r="AH79" i="5"/>
  <c r="AI162" i="5"/>
  <c r="AM156" i="5"/>
  <c r="AN98" i="5"/>
  <c r="AC153" i="5"/>
  <c r="P104" i="5"/>
  <c r="Z49" i="5"/>
  <c r="AJ49" i="5"/>
  <c r="AB97" i="5"/>
  <c r="AM49" i="5"/>
  <c r="AD52" i="5"/>
  <c r="AB64" i="5"/>
  <c r="AA180" i="5"/>
  <c r="AH86" i="5"/>
  <c r="AN104" i="5"/>
  <c r="T103" i="5"/>
  <c r="AF98" i="5"/>
  <c r="AK78" i="5"/>
  <c r="AC166" i="5"/>
  <c r="AD47" i="5"/>
  <c r="AA39" i="5"/>
  <c r="AI170" i="5"/>
  <c r="G102" i="5"/>
  <c r="AO54" i="5"/>
  <c r="AO53" i="5"/>
  <c r="AM102" i="5"/>
  <c r="AM61" i="5"/>
  <c r="AJ179" i="5"/>
  <c r="AG182" i="5"/>
  <c r="AG167" i="5"/>
  <c r="AD43" i="5"/>
  <c r="M104" i="5"/>
  <c r="Y78" i="5"/>
  <c r="AL104" i="5"/>
  <c r="Z164" i="5"/>
  <c r="AB175" i="5"/>
  <c r="AF57" i="5"/>
  <c r="AJ44" i="5"/>
  <c r="AN101" i="5"/>
  <c r="Q102" i="5"/>
  <c r="AB153" i="5"/>
  <c r="AC89" i="5"/>
  <c r="AM160" i="5"/>
  <c r="AK42" i="5"/>
  <c r="AJ159" i="5"/>
  <c r="M105" i="5"/>
  <c r="AG89" i="5"/>
  <c r="AL99" i="5"/>
  <c r="AF86" i="5"/>
  <c r="AO105" i="5"/>
  <c r="AF84" i="5"/>
  <c r="AJ65" i="5"/>
  <c r="AK86" i="5"/>
  <c r="N66" i="5"/>
  <c r="AM57" i="5"/>
  <c r="Z171" i="5"/>
  <c r="AD154" i="5"/>
  <c r="AO50" i="5"/>
  <c r="L105" i="5"/>
  <c r="AB57" i="5"/>
  <c r="AK173" i="5"/>
  <c r="AC158" i="5"/>
  <c r="AJ157" i="5"/>
  <c r="AL98" i="5"/>
  <c r="AL172" i="5"/>
  <c r="AJ174" i="5"/>
  <c r="AO180" i="5"/>
  <c r="AF154" i="5"/>
  <c r="AE48" i="5"/>
  <c r="V103" i="5"/>
  <c r="AD82" i="5"/>
  <c r="AD100" i="5"/>
  <c r="AE163" i="5"/>
  <c r="AB42" i="5"/>
  <c r="AF178" i="5"/>
  <c r="Z96" i="5"/>
  <c r="AG76" i="5"/>
  <c r="AK51" i="5"/>
  <c r="AG152" i="5"/>
  <c r="AJ42" i="5"/>
  <c r="AN68" i="5"/>
  <c r="AE173" i="5"/>
  <c r="AC44" i="5"/>
  <c r="AC118" i="5" l="1"/>
  <c r="AN142" i="5"/>
  <c r="AJ116" i="5"/>
  <c r="AK125" i="5"/>
  <c r="AB116" i="5"/>
  <c r="AE122" i="5"/>
  <c r="AB131" i="5"/>
  <c r="AO124" i="5"/>
  <c r="AM131" i="5"/>
  <c r="N140" i="5"/>
  <c r="AJ139" i="5"/>
  <c r="AK116" i="5"/>
  <c r="AJ118" i="5"/>
  <c r="AF131" i="5"/>
  <c r="Y115" i="5"/>
  <c r="AD117" i="5"/>
  <c r="AM135" i="5"/>
  <c r="AO127" i="5"/>
  <c r="AO128" i="5"/>
  <c r="AA113" i="5"/>
  <c r="AD121" i="5"/>
  <c r="AB138" i="5"/>
  <c r="AD126" i="5"/>
  <c r="AM123" i="5"/>
  <c r="AJ123" i="5"/>
  <c r="Z123" i="5"/>
  <c r="Y128" i="5"/>
  <c r="AI122" i="5"/>
  <c r="AL138" i="5"/>
  <c r="AD128" i="5"/>
  <c r="AI129" i="5"/>
  <c r="AG120" i="5"/>
  <c r="Y137" i="5"/>
  <c r="AA136" i="5"/>
  <c r="AL116" i="5"/>
  <c r="AL122" i="5"/>
  <c r="AA129" i="5"/>
  <c r="X139" i="5"/>
  <c r="AC117" i="5"/>
  <c r="K138" i="5"/>
  <c r="AM136" i="5"/>
  <c r="AO139" i="5"/>
  <c r="AA122" i="5"/>
  <c r="AC112" i="5"/>
  <c r="AG134" i="5"/>
  <c r="AD122" i="5"/>
  <c r="AE128" i="5"/>
  <c r="AC125" i="5"/>
  <c r="AH113" i="5"/>
  <c r="AC130" i="5"/>
  <c r="AK141" i="5"/>
  <c r="AM128" i="5"/>
  <c r="K141" i="5"/>
  <c r="AD114" i="5"/>
  <c r="AH122" i="5"/>
  <c r="AG111" i="5"/>
  <c r="AO129" i="5"/>
  <c r="W141" i="5"/>
  <c r="AI139" i="5"/>
  <c r="Z136" i="5"/>
  <c r="U141" i="5"/>
  <c r="M142" i="5"/>
  <c r="AG131" i="5"/>
  <c r="AK128" i="5"/>
  <c r="AF112" i="5"/>
  <c r="AC120" i="5"/>
  <c r="AB129" i="5"/>
  <c r="AA134" i="5"/>
  <c r="AK124" i="5"/>
  <c r="AC122" i="5"/>
  <c r="AJ112" i="5"/>
  <c r="Z126" i="5"/>
  <c r="AM121" i="5"/>
  <c r="AB114" i="5"/>
  <c r="AC142" i="5"/>
  <c r="J138" i="5"/>
  <c r="AD142" i="5"/>
  <c r="F139" i="5"/>
  <c r="AH137" i="5"/>
  <c r="AD131" i="5"/>
  <c r="AJ137" i="5"/>
  <c r="AL139" i="5"/>
  <c r="Y142" i="5"/>
  <c r="Y126" i="5"/>
  <c r="AL112" i="5"/>
  <c r="AC140" i="5"/>
  <c r="AF142" i="5"/>
  <c r="AA140" i="5"/>
  <c r="AL129" i="5"/>
  <c r="Y140" i="5"/>
  <c r="AF123" i="5"/>
  <c r="S142" i="5"/>
  <c r="AH141" i="5"/>
  <c r="AA139" i="5"/>
  <c r="I139" i="5"/>
  <c r="AK133" i="5"/>
  <c r="AA137" i="5"/>
  <c r="AI113" i="5"/>
  <c r="AE118" i="5"/>
  <c r="AJ121" i="5"/>
  <c r="AB121" i="5"/>
  <c r="AM117" i="5"/>
  <c r="AL133" i="5"/>
  <c r="H142" i="5"/>
  <c r="AN118" i="5"/>
  <c r="AD130" i="5"/>
  <c r="Z119" i="5"/>
  <c r="AE124" i="5"/>
  <c r="E141" i="5"/>
  <c r="AA115" i="5"/>
  <c r="AM120" i="5"/>
  <c r="AD138" i="5"/>
  <c r="U140" i="5"/>
  <c r="AK136" i="5"/>
  <c r="O141" i="5"/>
  <c r="M141" i="5"/>
  <c r="Q140" i="5"/>
  <c r="R140" i="5"/>
  <c r="AF132" i="5"/>
  <c r="AO114" i="5"/>
  <c r="AF124" i="5"/>
  <c r="AJ125" i="5"/>
  <c r="AJ117" i="5"/>
  <c r="AH119" i="5"/>
  <c r="AK120" i="5"/>
  <c r="AO134" i="5"/>
  <c r="AH115" i="5"/>
  <c r="AJ129" i="5"/>
  <c r="AA111" i="5"/>
  <c r="Z129" i="5"/>
  <c r="AC133" i="5"/>
  <c r="N138" i="5"/>
  <c r="AM119" i="5"/>
  <c r="AJ111" i="5"/>
  <c r="S141" i="5"/>
  <c r="AI119" i="5"/>
  <c r="AE125" i="5"/>
  <c r="Z113" i="5"/>
  <c r="Y138" i="5"/>
  <c r="AA117" i="5"/>
  <c r="N139" i="5"/>
  <c r="Y136" i="5"/>
  <c r="V141" i="5"/>
  <c r="Z137" i="5"/>
  <c r="G142" i="5"/>
  <c r="AG127" i="5"/>
  <c r="Z132" i="5"/>
  <c r="Z115" i="5"/>
  <c r="J139" i="5"/>
  <c r="AG140" i="5"/>
  <c r="AH129" i="5"/>
  <c r="H140" i="5"/>
  <c r="AF134" i="5"/>
  <c r="O138" i="5"/>
  <c r="AI137" i="5"/>
  <c r="AC119" i="5"/>
  <c r="Y114" i="5"/>
  <c r="AN140" i="5"/>
  <c r="AN115" i="5"/>
  <c r="AL128" i="5"/>
  <c r="V139" i="5"/>
  <c r="AK117" i="5"/>
  <c r="AM138" i="5"/>
  <c r="AH131" i="5"/>
  <c r="AC132" i="5"/>
  <c r="AA132" i="5"/>
  <c r="AH112" i="5"/>
  <c r="AD140" i="5"/>
  <c r="AA118" i="5"/>
  <c r="AO111" i="5"/>
  <c r="AO115" i="5"/>
  <c r="F142" i="5"/>
  <c r="S140" i="5"/>
  <c r="AA112" i="5"/>
  <c r="AB134" i="5"/>
  <c r="AA130" i="5"/>
  <c r="AL137" i="5"/>
  <c r="AA121" i="5"/>
  <c r="AB133" i="5"/>
  <c r="AE140" i="5"/>
  <c r="AN129" i="5"/>
  <c r="AD129" i="5"/>
  <c r="AO113" i="5"/>
  <c r="AK137" i="5"/>
  <c r="AO119" i="5"/>
  <c r="AF120" i="5"/>
  <c r="AI128" i="5"/>
  <c r="AJ132" i="5"/>
  <c r="AL127" i="5"/>
  <c r="AO130" i="5"/>
  <c r="AL126" i="5"/>
  <c r="H141" i="5"/>
  <c r="AH117" i="5"/>
  <c r="AH127" i="5"/>
  <c r="AK132" i="5"/>
  <c r="AM125" i="5"/>
  <c r="L140" i="5"/>
  <c r="T142" i="5"/>
  <c r="AB112" i="5"/>
  <c r="AI126" i="5"/>
  <c r="AN127" i="5"/>
  <c r="AI124" i="5"/>
  <c r="AB128" i="5"/>
  <c r="AG142" i="5"/>
  <c r="AF118" i="5"/>
  <c r="AL120" i="5"/>
  <c r="AI138" i="5"/>
  <c r="X141" i="5"/>
  <c r="AI133" i="5"/>
  <c r="AM115" i="5"/>
  <c r="Y127" i="5"/>
  <c r="AC124" i="5"/>
  <c r="T141" i="5"/>
  <c r="W140" i="5"/>
  <c r="P139" i="5"/>
  <c r="AJ120" i="5"/>
  <c r="AA135" i="5"/>
  <c r="AD141" i="5"/>
  <c r="AN112" i="5"/>
  <c r="AL136" i="5"/>
  <c r="AM122" i="5"/>
  <c r="AG133" i="5"/>
  <c r="AI116" i="5"/>
  <c r="AE134" i="5"/>
  <c r="V140" i="5"/>
  <c r="AJ114" i="5"/>
  <c r="Z131" i="5"/>
  <c r="I141" i="5"/>
  <c r="AH126" i="5"/>
  <c r="Z140" i="5"/>
  <c r="AK123" i="5"/>
  <c r="R142" i="5"/>
  <c r="AF130" i="5"/>
  <c r="AD119" i="5"/>
  <c r="AM140" i="5"/>
  <c r="AG122" i="5"/>
  <c r="AG129" i="5"/>
  <c r="W139" i="5"/>
  <c r="AI140" i="5"/>
  <c r="AF115" i="5"/>
  <c r="AL134" i="5"/>
  <c r="AG126" i="5"/>
  <c r="AH136" i="5"/>
  <c r="AH139" i="5"/>
  <c r="AN111" i="5"/>
  <c r="AE136" i="5"/>
  <c r="AD139" i="5"/>
  <c r="T138" i="5"/>
  <c r="AA126" i="5"/>
  <c r="AI134" i="5"/>
  <c r="Y111" i="5"/>
  <c r="AA114" i="5"/>
  <c r="AE117" i="5"/>
  <c r="AG115" i="5"/>
  <c r="AJ138" i="5"/>
  <c r="AO122" i="5"/>
  <c r="Y141" i="5"/>
  <c r="AB137" i="5"/>
  <c r="W142" i="5"/>
  <c r="AI123" i="5"/>
  <c r="AK131" i="5"/>
  <c r="AO140" i="5"/>
  <c r="AL135" i="5"/>
  <c r="F141" i="5"/>
  <c r="AD112" i="5"/>
  <c r="Y130" i="5"/>
  <c r="AA127" i="5"/>
  <c r="X140" i="5"/>
  <c r="Y122" i="5"/>
  <c r="AL121" i="5"/>
  <c r="AC114" i="5"/>
  <c r="AD124" i="5"/>
  <c r="AL117" i="5"/>
  <c r="AH116" i="5"/>
  <c r="AB140" i="5"/>
  <c r="AL132" i="5"/>
  <c r="AF140" i="5"/>
  <c r="AF138" i="5"/>
  <c r="AJ113" i="5"/>
  <c r="AC141" i="5"/>
  <c r="Z116" i="5"/>
  <c r="AM129" i="5"/>
  <c r="AF116" i="5"/>
  <c r="AG128" i="5"/>
  <c r="AO118" i="5"/>
  <c r="AG137" i="5"/>
  <c r="AE119" i="5"/>
  <c r="N142" i="5"/>
  <c r="AK121" i="5"/>
  <c r="AH134" i="5"/>
  <c r="AD134" i="5"/>
  <c r="AM112" i="5"/>
  <c r="AK140" i="5"/>
  <c r="Q138" i="5"/>
  <c r="AE126" i="5"/>
  <c r="AG141" i="5"/>
  <c r="AL119" i="5"/>
  <c r="AL125" i="5"/>
  <c r="M138" i="5"/>
  <c r="AK135" i="5"/>
  <c r="AO112" i="5"/>
  <c r="AO141" i="5"/>
  <c r="AG125" i="5"/>
  <c r="AH114" i="5"/>
  <c r="AI118" i="5"/>
  <c r="Z124" i="5"/>
  <c r="AM113" i="5"/>
  <c r="AG113" i="5"/>
  <c r="AE129" i="5"/>
  <c r="AG118" i="5"/>
  <c r="E139" i="5"/>
  <c r="Z120" i="5"/>
  <c r="R141" i="5"/>
  <c r="AO125" i="5"/>
  <c r="AM141" i="5"/>
  <c r="J142" i="5"/>
  <c r="R139" i="5"/>
  <c r="AO131" i="5"/>
  <c r="AH138" i="5"/>
  <c r="AK142" i="5"/>
  <c r="AN120" i="5"/>
  <c r="AC115" i="5"/>
  <c r="AB118" i="5"/>
  <c r="G141" i="5"/>
  <c r="AG123" i="5"/>
  <c r="T139" i="5"/>
  <c r="Y124" i="5"/>
  <c r="AM114" i="5"/>
  <c r="AJ126" i="5"/>
  <c r="O139" i="5"/>
  <c r="AO138" i="5"/>
  <c r="AL113" i="5"/>
  <c r="AE116" i="5"/>
  <c r="AH133" i="5"/>
  <c r="AB123" i="5"/>
  <c r="AL131" i="5"/>
  <c r="AM132" i="5"/>
  <c r="R138" i="5"/>
  <c r="K142" i="5"/>
  <c r="L142" i="5"/>
  <c r="Y135" i="5"/>
  <c r="AG130" i="5"/>
  <c r="AF136" i="5"/>
  <c r="AE121" i="5"/>
  <c r="AA120" i="5"/>
  <c r="AO117" i="5"/>
  <c r="AN123" i="5"/>
  <c r="AA142" i="5"/>
  <c r="AH121" i="5"/>
  <c r="V142" i="5"/>
  <c r="AD123" i="5"/>
  <c r="AH130" i="5"/>
  <c r="Y121" i="5"/>
  <c r="AK129" i="5"/>
  <c r="AI130" i="5"/>
  <c r="AN119" i="5"/>
  <c r="AM111" i="5"/>
  <c r="AN128" i="5"/>
  <c r="AD133" i="5"/>
  <c r="AE130" i="5"/>
  <c r="AI120" i="5"/>
  <c r="F138" i="5"/>
  <c r="Y132" i="5"/>
  <c r="AA116" i="5"/>
  <c r="Y113" i="5"/>
  <c r="AC111" i="5"/>
  <c r="AB142" i="5"/>
  <c r="AA138" i="5"/>
  <c r="AF135" i="5"/>
  <c r="AO132" i="5"/>
  <c r="AI117" i="5"/>
  <c r="AN121" i="5"/>
  <c r="AB139" i="5"/>
  <c r="AA119" i="5"/>
  <c r="AE138" i="5"/>
  <c r="AM126" i="5"/>
  <c r="O142" i="5"/>
  <c r="AK119" i="5"/>
  <c r="AG138" i="5"/>
  <c r="AN135" i="5"/>
  <c r="AE139" i="5"/>
  <c r="AG136" i="5"/>
  <c r="AO126" i="5"/>
  <c r="L138" i="5"/>
  <c r="Z112" i="5"/>
  <c r="U142" i="5"/>
  <c r="AI125" i="5"/>
  <c r="AD136" i="5"/>
  <c r="AM134" i="5"/>
  <c r="AI141" i="5"/>
  <c r="AJ142" i="5"/>
  <c r="AK115" i="5"/>
  <c r="AB111" i="5"/>
  <c r="M139" i="5"/>
  <c r="P140" i="5"/>
  <c r="N141" i="5"/>
  <c r="AJ136" i="5"/>
  <c r="X142" i="5"/>
  <c r="AF125" i="5"/>
  <c r="AF141" i="5"/>
  <c r="AG135" i="5"/>
  <c r="AD116" i="5"/>
  <c r="AN117" i="5"/>
  <c r="V138" i="5"/>
  <c r="Z135" i="5"/>
  <c r="E140" i="5"/>
  <c r="AN132" i="5"/>
  <c r="AH128" i="5"/>
  <c r="AK122" i="5"/>
  <c r="Q139" i="5"/>
  <c r="AC126" i="5"/>
  <c r="Z121" i="5"/>
  <c r="AN138" i="5"/>
  <c r="AH111" i="5"/>
  <c r="AJ135" i="5"/>
  <c r="AD111" i="5"/>
  <c r="AN126" i="5"/>
  <c r="AN139" i="5"/>
  <c r="AF122" i="5"/>
  <c r="AN130" i="5"/>
  <c r="Y123" i="5"/>
  <c r="AL118" i="5"/>
  <c r="AK134" i="5"/>
  <c r="AG121" i="5"/>
  <c r="AG114" i="5"/>
  <c r="G140" i="5"/>
  <c r="AM116" i="5"/>
  <c r="Y118" i="5"/>
  <c r="AN114" i="5"/>
  <c r="AF117" i="5"/>
  <c r="AC129" i="5"/>
  <c r="Z111" i="5"/>
  <c r="AG119" i="5"/>
  <c r="AE142" i="5"/>
  <c r="S138" i="5"/>
  <c r="O140" i="5"/>
  <c r="AM127" i="5"/>
  <c r="Y116" i="5"/>
  <c r="AL141" i="5"/>
  <c r="AD118" i="5"/>
  <c r="AN116" i="5"/>
  <c r="AO133" i="5"/>
  <c r="M140" i="5"/>
  <c r="AC134" i="5"/>
  <c r="AL124" i="5"/>
  <c r="AC138" i="5"/>
  <c r="AN137" i="5"/>
  <c r="AD127" i="5"/>
  <c r="Y134" i="5"/>
  <c r="Q142" i="5"/>
  <c r="AC123" i="5"/>
  <c r="AI127" i="5"/>
  <c r="AM142" i="5"/>
  <c r="Y112" i="5"/>
  <c r="U138" i="5"/>
  <c r="Y117" i="5"/>
  <c r="S139" i="5"/>
  <c r="Z118" i="5"/>
  <c r="AN122" i="5"/>
  <c r="AI115" i="5"/>
  <c r="Y125" i="5"/>
  <c r="AE141" i="5"/>
  <c r="AN133" i="5"/>
  <c r="AK113" i="5"/>
  <c r="AL140" i="5"/>
  <c r="AA141" i="5"/>
  <c r="AG124" i="5"/>
  <c r="AE111" i="5"/>
  <c r="AE120" i="5"/>
  <c r="AF111" i="5"/>
  <c r="AE123" i="5"/>
  <c r="AB120" i="5"/>
  <c r="AH124" i="5"/>
  <c r="AJ124" i="5"/>
  <c r="G139" i="5"/>
  <c r="AA133" i="5"/>
  <c r="AF119" i="5"/>
  <c r="Z127" i="5"/>
  <c r="AJ130" i="5"/>
  <c r="AH140" i="5"/>
  <c r="AN141" i="5"/>
  <c r="AN136" i="5"/>
  <c r="P138" i="5"/>
  <c r="AK138" i="5"/>
  <c r="Q141" i="5"/>
  <c r="Z141" i="5"/>
  <c r="AH142" i="5"/>
  <c r="X138" i="5"/>
  <c r="AE113" i="5"/>
  <c r="AO135" i="5"/>
  <c r="I138" i="5"/>
  <c r="AD115" i="5"/>
  <c r="K140" i="5"/>
  <c r="AL130" i="5"/>
  <c r="AE131" i="5"/>
  <c r="L141" i="5"/>
  <c r="AH132" i="5"/>
  <c r="AA124" i="5"/>
  <c r="Z128" i="5"/>
  <c r="AD120" i="5"/>
  <c r="AC139" i="5"/>
  <c r="AB141" i="5"/>
  <c r="L139" i="5"/>
  <c r="AD137" i="5"/>
  <c r="Y119" i="5"/>
  <c r="H138" i="5"/>
  <c r="AH118" i="5"/>
  <c r="AA123" i="5"/>
  <c r="AF139" i="5"/>
  <c r="AB135" i="5"/>
  <c r="J140" i="5"/>
  <c r="AE137" i="5"/>
  <c r="P142" i="5"/>
  <c r="AB115" i="5"/>
  <c r="Y129" i="5"/>
  <c r="Y120" i="5"/>
  <c r="Z125" i="5"/>
  <c r="AG112" i="5"/>
  <c r="AO142" i="5"/>
  <c r="AK112" i="5"/>
  <c r="AB132" i="5"/>
  <c r="AF129" i="5"/>
  <c r="AG132" i="5"/>
  <c r="AJ141" i="5"/>
  <c r="Z134" i="5"/>
  <c r="AO136" i="5"/>
  <c r="AC135" i="5"/>
  <c r="AA131" i="5"/>
  <c r="I142" i="5"/>
  <c r="AD113" i="5"/>
  <c r="AK111" i="5"/>
  <c r="AO120" i="5"/>
  <c r="AJ140" i="5"/>
  <c r="AI112" i="5"/>
  <c r="Z130" i="5"/>
  <c r="AJ127" i="5"/>
  <c r="AJ134" i="5"/>
  <c r="AI121" i="5"/>
  <c r="AC131" i="5"/>
  <c r="AJ131" i="5"/>
  <c r="AC136" i="5"/>
  <c r="Y131" i="5"/>
  <c r="AL115" i="5"/>
  <c r="AE115" i="5"/>
  <c r="AA128" i="5"/>
  <c r="AL114" i="5"/>
  <c r="AO137" i="5"/>
  <c r="AG139" i="5"/>
  <c r="AC121" i="5"/>
  <c r="AJ133" i="5"/>
  <c r="AN113" i="5"/>
  <c r="P141" i="5"/>
  <c r="G138" i="5"/>
  <c r="AG117" i="5"/>
  <c r="Y139" i="5"/>
  <c r="AD125" i="5"/>
  <c r="AJ128" i="5"/>
  <c r="AB124" i="5"/>
  <c r="K139" i="5"/>
  <c r="AB126" i="5"/>
  <c r="AL111" i="5"/>
  <c r="AN124" i="5"/>
  <c r="AH135" i="5"/>
  <c r="F140" i="5"/>
  <c r="AN125" i="5"/>
  <c r="AN131" i="5"/>
  <c r="AH123" i="5"/>
  <c r="W138" i="5"/>
  <c r="Z133" i="5"/>
  <c r="AK126" i="5"/>
  <c r="AK130" i="5"/>
  <c r="AF113" i="5"/>
  <c r="AK118" i="5"/>
  <c r="Z114" i="5"/>
  <c r="AB125" i="5"/>
  <c r="AI136" i="5"/>
  <c r="Z122" i="5"/>
  <c r="AD135" i="5"/>
  <c r="AG116" i="5"/>
  <c r="Z142" i="5"/>
  <c r="Z138" i="5"/>
  <c r="AE114" i="5"/>
  <c r="AB119" i="5"/>
  <c r="AB122" i="5"/>
  <c r="AJ115" i="5"/>
  <c r="AB130" i="5"/>
  <c r="E138" i="5"/>
  <c r="H139" i="5"/>
  <c r="AE135" i="5"/>
  <c r="AF126" i="5"/>
  <c r="AO121" i="5"/>
  <c r="AL142" i="5"/>
  <c r="AF114" i="5"/>
  <c r="AI135" i="5"/>
  <c r="AJ122" i="5"/>
  <c r="AN134" i="5"/>
  <c r="AF133" i="5"/>
  <c r="AC116" i="5"/>
  <c r="AB127" i="5"/>
  <c r="AA125" i="5"/>
  <c r="AM130" i="5"/>
  <c r="Z117" i="5"/>
  <c r="E142" i="5"/>
  <c r="AK139" i="5"/>
  <c r="AD132" i="5"/>
  <c r="AM124" i="5"/>
  <c r="AH120" i="5"/>
  <c r="AE133" i="5"/>
  <c r="AO123" i="5"/>
  <c r="AM139" i="5"/>
  <c r="AC127" i="5"/>
  <c r="AE127" i="5"/>
  <c r="AE132" i="5"/>
  <c r="AC128" i="5"/>
  <c r="AI111" i="5"/>
  <c r="AI132" i="5"/>
  <c r="AO116" i="5"/>
  <c r="AJ119" i="5"/>
  <c r="AF127" i="5"/>
  <c r="AE112" i="5"/>
  <c r="T140" i="5"/>
  <c r="AC113" i="5"/>
  <c r="AK114" i="5"/>
  <c r="AM118" i="5"/>
  <c r="AI142" i="5"/>
  <c r="AL123" i="5"/>
  <c r="AF137" i="5"/>
  <c r="AB113" i="5"/>
  <c r="I140" i="5"/>
  <c r="AC137" i="5"/>
  <c r="AB117" i="5"/>
  <c r="AH125" i="5"/>
  <c r="U139" i="5"/>
  <c r="AF121" i="5"/>
  <c r="AI114" i="5"/>
  <c r="AB136" i="5"/>
  <c r="AM137" i="5"/>
  <c r="Y133" i="5"/>
  <c r="AK127" i="5"/>
  <c r="Z139" i="5"/>
  <c r="AF128" i="5"/>
  <c r="AM133" i="5"/>
  <c r="J141" i="5"/>
  <c r="AI131" i="5"/>
  <c r="AO3" i="26"/>
  <c r="AJ3" i="26"/>
  <c r="AK3" i="26"/>
  <c r="AI3" i="26"/>
  <c r="AH3" i="26"/>
  <c r="AL3" i="26"/>
</calcChain>
</file>

<file path=xl/sharedStrings.xml><?xml version="1.0" encoding="utf-8"?>
<sst xmlns="http://schemas.openxmlformats.org/spreadsheetml/2006/main" count="7101" uniqueCount="782">
  <si>
    <t>Cash</t>
  </si>
  <si>
    <t>B/S</t>
  </si>
  <si>
    <t>Symbol</t>
  </si>
  <si>
    <t>Qty</t>
  </si>
  <si>
    <t>Value</t>
  </si>
  <si>
    <t>Brokerage</t>
  </si>
  <si>
    <t>B</t>
  </si>
  <si>
    <t>CUMMINSIND</t>
  </si>
  <si>
    <t>S</t>
  </si>
  <si>
    <t>GST</t>
  </si>
  <si>
    <t>STT</t>
  </si>
  <si>
    <t>SEBI</t>
  </si>
  <si>
    <t>Stamp</t>
  </si>
  <si>
    <t>a</t>
  </si>
  <si>
    <t>Txn charges</t>
  </si>
  <si>
    <t>C&amp;T Charges</t>
  </si>
  <si>
    <t>APLLTD</t>
  </si>
  <si>
    <t>SL</t>
  </si>
  <si>
    <t>PFC</t>
  </si>
  <si>
    <t>Date</t>
  </si>
  <si>
    <t>Capital</t>
  </si>
  <si>
    <t>Scrip</t>
  </si>
  <si>
    <t>Strike</t>
  </si>
  <si>
    <t>Entry Price</t>
  </si>
  <si>
    <t>Target 1</t>
  </si>
  <si>
    <t>Target 2</t>
  </si>
  <si>
    <t>Target 3</t>
  </si>
  <si>
    <t>Target 4</t>
  </si>
  <si>
    <t>SL%</t>
  </si>
  <si>
    <t>Loss</t>
  </si>
  <si>
    <t>Gain 1</t>
  </si>
  <si>
    <t>Gain 2</t>
  </si>
  <si>
    <t>Gain 3</t>
  </si>
  <si>
    <t>Gain 4</t>
  </si>
  <si>
    <t>Lot</t>
  </si>
  <si>
    <t>Target 1 %</t>
  </si>
  <si>
    <t>Gain 1 %</t>
  </si>
  <si>
    <t>Target 2 %</t>
  </si>
  <si>
    <t>Gain 2 %</t>
  </si>
  <si>
    <t>Target 3 %</t>
  </si>
  <si>
    <t>Gain 3 %</t>
  </si>
  <si>
    <t>Target 4 %</t>
  </si>
  <si>
    <t>Gain 4 %</t>
  </si>
  <si>
    <t>Trade 1</t>
  </si>
  <si>
    <t>Trade 2</t>
  </si>
  <si>
    <t>Trade 3</t>
  </si>
  <si>
    <t>Trade 4</t>
  </si>
  <si>
    <t>Trade 5</t>
  </si>
  <si>
    <t>NIFTY AUG 16650 CE</t>
  </si>
  <si>
    <t>Exit Price</t>
  </si>
  <si>
    <t>Exit Price %</t>
  </si>
  <si>
    <t>Gain</t>
  </si>
  <si>
    <t>Gain %</t>
  </si>
  <si>
    <t>Extra Cost</t>
  </si>
  <si>
    <t>BANKNIFTY AUG 35600 CE</t>
  </si>
  <si>
    <t>Option</t>
  </si>
  <si>
    <t>Zerodha</t>
  </si>
  <si>
    <t>Cash Ledger</t>
  </si>
  <si>
    <t>Reco SL</t>
  </si>
  <si>
    <t>Reco SL%</t>
  </si>
  <si>
    <t>Reco Tar</t>
  </si>
  <si>
    <t>Reco Tar %</t>
  </si>
  <si>
    <t>Reco Price</t>
  </si>
  <si>
    <t>Total Trades</t>
  </si>
  <si>
    <t>Txn Cost</t>
  </si>
  <si>
    <t>Unit gain</t>
  </si>
  <si>
    <t>Funds</t>
  </si>
  <si>
    <t>Available</t>
  </si>
  <si>
    <t>Call OI</t>
  </si>
  <si>
    <t>Call LTP</t>
  </si>
  <si>
    <t>Call Delta</t>
  </si>
  <si>
    <t>IV</t>
  </si>
  <si>
    <t>Put LTP</t>
  </si>
  <si>
    <t>Put Delta</t>
  </si>
  <si>
    <t>Put OI</t>
  </si>
  <si>
    <t>Theta</t>
  </si>
  <si>
    <t>Vega</t>
  </si>
  <si>
    <t>Gamma</t>
  </si>
  <si>
    <t>Expiry</t>
  </si>
  <si>
    <t>Index</t>
  </si>
  <si>
    <t>Prev Close</t>
  </si>
  <si>
    <t>R1</t>
  </si>
  <si>
    <t>R2</t>
  </si>
  <si>
    <t>R3</t>
  </si>
  <si>
    <t>S1</t>
  </si>
  <si>
    <t>S2</t>
  </si>
  <si>
    <t>S3</t>
  </si>
  <si>
    <t>PCR</t>
  </si>
  <si>
    <t>NIFTY 50</t>
  </si>
  <si>
    <t>NIFTY BANK</t>
  </si>
  <si>
    <t>TCS</t>
  </si>
  <si>
    <t>ACC</t>
  </si>
  <si>
    <t>HDFC</t>
  </si>
  <si>
    <t>HINDALCO</t>
  </si>
  <si>
    <t>INFY</t>
  </si>
  <si>
    <t>RELIANCE</t>
  </si>
  <si>
    <t>ASIANPAINT</t>
  </si>
  <si>
    <t>AUROPHARMA</t>
  </si>
  <si>
    <t>AXISBANK</t>
  </si>
  <si>
    <t>BAJAJFINSV</t>
  </si>
  <si>
    <t>BEL</t>
  </si>
  <si>
    <t>COALINDIA</t>
  </si>
  <si>
    <t>ICICIBANK</t>
  </si>
  <si>
    <t>HDFCBANK</t>
  </si>
  <si>
    <t>HINDUNILVR</t>
  </si>
  <si>
    <t>INDUSINDBK</t>
  </si>
  <si>
    <t>KOTAKBANK</t>
  </si>
  <si>
    <t>MGL</t>
  </si>
  <si>
    <t>SBIN</t>
  </si>
  <si>
    <t>ULTRACEMCO</t>
  </si>
  <si>
    <t>PUT STRIKE</t>
  </si>
  <si>
    <t>BAJFINANCE</t>
  </si>
  <si>
    <t>PUT PR</t>
  </si>
  <si>
    <t>LOT</t>
  </si>
  <si>
    <t>X</t>
  </si>
  <si>
    <t>Premium</t>
  </si>
  <si>
    <t>Worstcase funds</t>
  </si>
  <si>
    <t>Margin</t>
  </si>
  <si>
    <t>Prem/Margin</t>
  </si>
  <si>
    <t>Period</t>
  </si>
  <si>
    <t>Annual Rate</t>
  </si>
  <si>
    <t>Price Forecast</t>
  </si>
  <si>
    <t>Margin/Lot</t>
  </si>
  <si>
    <t>DLF</t>
  </si>
  <si>
    <t>DRREDDY</t>
  </si>
  <si>
    <t>IBULHSGFIN</t>
  </si>
  <si>
    <t>IEX</t>
  </si>
  <si>
    <t>LUPIN</t>
  </si>
  <si>
    <t>NAVINFLUOR</t>
  </si>
  <si>
    <t>PFIZER</t>
  </si>
  <si>
    <t>TATAPOWER</t>
  </si>
  <si>
    <t>MUTHOOTFIN</t>
  </si>
  <si>
    <t>JSWSTEEL</t>
  </si>
  <si>
    <t>When to sell CSP</t>
  </si>
  <si>
    <t>When IV is high</t>
  </si>
  <si>
    <t>When Stock dips</t>
  </si>
  <si>
    <t>When spot price is at support level</t>
  </si>
  <si>
    <t>When to sell covered calls</t>
  </si>
  <si>
    <t>When share is at top of wave</t>
  </si>
  <si>
    <t xml:space="preserve">When share is at resistance </t>
  </si>
  <si>
    <t>Shares</t>
  </si>
  <si>
    <t>Management and Goveernance</t>
  </si>
  <si>
    <t>Large Cap</t>
  </si>
  <si>
    <t>Highly Liquid Options</t>
  </si>
  <si>
    <t>Growing trending</t>
  </si>
  <si>
    <t>Div Yield</t>
  </si>
  <si>
    <t>Low Debt</t>
  </si>
  <si>
    <t>Avoid regulated companies</t>
  </si>
  <si>
    <t xml:space="preserve">UNDERLYING                          </t>
  </si>
  <si>
    <t xml:space="preserve">SYMBOL    </t>
  </si>
  <si>
    <t xml:space="preserve">NIFTY BANK                          </t>
  </si>
  <si>
    <t xml:space="preserve">           </t>
  </si>
  <si>
    <t xml:space="preserve">NIFTY 50                            </t>
  </si>
  <si>
    <t xml:space="preserve">NIFTY FINANCIAL SERVICES            </t>
  </si>
  <si>
    <t>Derivatives on Individual Securities</t>
  </si>
  <si>
    <t xml:space="preserve">ACC LIMITED                         </t>
  </si>
  <si>
    <t xml:space="preserve">ADANI PORT &amp; SEZ LTD                </t>
  </si>
  <si>
    <t>ADANIPORTS</t>
  </si>
  <si>
    <t xml:space="preserve">AARTI INDUSTRIES LTD                </t>
  </si>
  <si>
    <t xml:space="preserve">ALKEM LABORATORIES LTD.             </t>
  </si>
  <si>
    <t xml:space="preserve">ASHOK LEYLAND LTD                   </t>
  </si>
  <si>
    <t xml:space="preserve">ASIAN PAINTS LIMITED                </t>
  </si>
  <si>
    <t xml:space="preserve">AXIS BANK LIMITED                   </t>
  </si>
  <si>
    <t xml:space="preserve">ADITYA BIRLA FASHION &amp; RT           </t>
  </si>
  <si>
    <t xml:space="preserve">AMBUJA CEMENTS LTD                  </t>
  </si>
  <si>
    <t xml:space="preserve">APOLLO HOSPITALS ENTER. L           </t>
  </si>
  <si>
    <t>APOLLOHOSP</t>
  </si>
  <si>
    <t xml:space="preserve">BANDHAN BANK LIMITED                </t>
  </si>
  <si>
    <t>BANDHANBNK</t>
  </si>
  <si>
    <t xml:space="preserve">ADANI ENTERPRISES LIMITED           </t>
  </si>
  <si>
    <t xml:space="preserve">BHEL                                </t>
  </si>
  <si>
    <t xml:space="preserve">AMARA RAJA BATTERIES LTD.           </t>
  </si>
  <si>
    <t>AMARAJABAT</t>
  </si>
  <si>
    <t xml:space="preserve">DABUR INDIA LTD                     </t>
  </si>
  <si>
    <t xml:space="preserve">AU SMALL FINANCE BANK LTD           </t>
  </si>
  <si>
    <t xml:space="preserve">AUROBINDO PHARMA LTD                </t>
  </si>
  <si>
    <t xml:space="preserve">DEEPAK NITRITE LTD                  </t>
  </si>
  <si>
    <t xml:space="preserve">BAJAJ AUTO LIMITED                  </t>
  </si>
  <si>
    <t>BAJAJ-AUTO</t>
  </si>
  <si>
    <t xml:space="preserve">BAJAJ FINSERV LTD.                  </t>
  </si>
  <si>
    <t xml:space="preserve">BAJAJ FINANCE LIMITED               </t>
  </si>
  <si>
    <t xml:space="preserve">BANK OF BARODA                      </t>
  </si>
  <si>
    <t>BANKBARODA</t>
  </si>
  <si>
    <t xml:space="preserve">BATA INDIA LTD                      </t>
  </si>
  <si>
    <t xml:space="preserve">GODREJ PROPERTIES LTD               </t>
  </si>
  <si>
    <t>GODREJPROP</t>
  </si>
  <si>
    <t xml:space="preserve">BHARAT ELECTRONICS LTD              </t>
  </si>
  <si>
    <t xml:space="preserve">BHARTI AIRTEL LIMITED               </t>
  </si>
  <si>
    <t>BHARTIARTL</t>
  </si>
  <si>
    <t xml:space="preserve">BHARAT PETROLEUM CORP  LT           </t>
  </si>
  <si>
    <t xml:space="preserve">HINDUSTAN PETROLEUM CORP            </t>
  </si>
  <si>
    <t xml:space="preserve">INTERGLOBE AVIATION LTD             </t>
  </si>
  <si>
    <t xml:space="preserve">CANARA BANK                         </t>
  </si>
  <si>
    <t xml:space="preserve">INDIAN OIL CORP LTD                 </t>
  </si>
  <si>
    <t xml:space="preserve">CIPLA LTD                           </t>
  </si>
  <si>
    <t xml:space="preserve">COAL INDIA LTD                      </t>
  </si>
  <si>
    <t xml:space="preserve">COLGATE PALMOLIVE LTD.              </t>
  </si>
  <si>
    <t xml:space="preserve">JUBILANT FOODWORKS LTD              </t>
  </si>
  <si>
    <t xml:space="preserve">COROMANDEL INTERNTL. LTD            </t>
  </si>
  <si>
    <t>COROMANDEL</t>
  </si>
  <si>
    <t xml:space="preserve">L&amp;T INFOTECH LIMITED                </t>
  </si>
  <si>
    <t xml:space="preserve">CITY UNION BANK LTD                 </t>
  </si>
  <si>
    <t xml:space="preserve">MARICO LIMITED                      </t>
  </si>
  <si>
    <t xml:space="preserve">CUMMINS INDIA LTD                   </t>
  </si>
  <si>
    <t xml:space="preserve">MINDTREE LIMITED                    </t>
  </si>
  <si>
    <t xml:space="preserve">DLF LIMITED                         </t>
  </si>
  <si>
    <t xml:space="preserve">NATIONAL ALUMINIUM CO LTD           </t>
  </si>
  <si>
    <t>NATIONALUM</t>
  </si>
  <si>
    <t xml:space="preserve">ESCORTS INDIA LTD                   </t>
  </si>
  <si>
    <t xml:space="preserve">FEDERAL BANK LTD                    </t>
  </si>
  <si>
    <t>FEDERALBNK</t>
  </si>
  <si>
    <t xml:space="preserve">GLENMARK PHARMACEUTICALS            </t>
  </si>
  <si>
    <t xml:space="preserve">POWER GRID CORP. LTD.               </t>
  </si>
  <si>
    <t xml:space="preserve">GRANULES INDIA LIMITED              </t>
  </si>
  <si>
    <t xml:space="preserve">GUJARAT GAS LIMITED                 </t>
  </si>
  <si>
    <t xml:space="preserve">HCL TECHNOLOGIES LTD                </t>
  </si>
  <si>
    <t xml:space="preserve">HDFC AMC LIMITED                    </t>
  </si>
  <si>
    <t xml:space="preserve">HDFC BANK LTD                       </t>
  </si>
  <si>
    <t xml:space="preserve">HDFC LIFE INS CO LTD                </t>
  </si>
  <si>
    <t xml:space="preserve">HERO MOTOCORP LIMITED               </t>
  </si>
  <si>
    <t>HEROMOTOCO</t>
  </si>
  <si>
    <t xml:space="preserve">HINDALCO  INDUSTRIES  LTD           </t>
  </si>
  <si>
    <t xml:space="preserve">HINDUSTAN UNILEVER LTD.             </t>
  </si>
  <si>
    <t xml:space="preserve">INDIABULLS HSG FIN LTD              </t>
  </si>
  <si>
    <t xml:space="preserve">SRF LTD                             </t>
  </si>
  <si>
    <t xml:space="preserve">ICICI BANK LTD.                     </t>
  </si>
  <si>
    <t xml:space="preserve">ICICI LOMBARD GIC LIMITED           </t>
  </si>
  <si>
    <t xml:space="preserve">ICICI PRU LIFE INS CO LTD           </t>
  </si>
  <si>
    <t>ICICIPRULI</t>
  </si>
  <si>
    <t xml:space="preserve">VODAFONE IDEA LIMITED               </t>
  </si>
  <si>
    <t xml:space="preserve">SUN PHARMACEUTICAL IND L            </t>
  </si>
  <si>
    <t xml:space="preserve">IDFC FIRST BANK LIMITED             </t>
  </si>
  <si>
    <t>IDFCFIRSTB</t>
  </si>
  <si>
    <t xml:space="preserve">THE INDIAN HOTELS CO. LTD           </t>
  </si>
  <si>
    <t xml:space="preserve">INDUSIND BANK LIMITED               </t>
  </si>
  <si>
    <t xml:space="preserve">INFOSYS LIMITED                     </t>
  </si>
  <si>
    <t xml:space="preserve">INDIAN RAIL TOUR CORP LTD           </t>
  </si>
  <si>
    <t xml:space="preserve">ITC LTD                             </t>
  </si>
  <si>
    <t xml:space="preserve">JINDAL STEEL &amp; POWER LTD            </t>
  </si>
  <si>
    <t>JINDALSTEL</t>
  </si>
  <si>
    <t xml:space="preserve">JSW STEEL LIMITED                   </t>
  </si>
  <si>
    <t xml:space="preserve">DR. LAL PATH LABS LTD.              </t>
  </si>
  <si>
    <t>LALPATHLAB</t>
  </si>
  <si>
    <t xml:space="preserve">SUN TV NETWORK LIMITED              </t>
  </si>
  <si>
    <t xml:space="preserve">LIC HOUSING FINANCE LTD             </t>
  </si>
  <si>
    <t xml:space="preserve">LARSEN &amp; TOUBRO LTD.                </t>
  </si>
  <si>
    <t xml:space="preserve">L&amp;T TECHNOLOGY SER. LTD.            </t>
  </si>
  <si>
    <t xml:space="preserve">LUPIN LIMITED                       </t>
  </si>
  <si>
    <t xml:space="preserve">M&amp;M FIN. SERVICES LTD               </t>
  </si>
  <si>
    <t xml:space="preserve">MANAPPURAM FINANCE LTD              </t>
  </si>
  <si>
    <t>MANAPPURAM</t>
  </si>
  <si>
    <t xml:space="preserve">TATA CONSULTANCY SERV LT            </t>
  </si>
  <si>
    <t xml:space="preserve">MARUTI SUZUKI INDIA LTD.            </t>
  </si>
  <si>
    <t xml:space="preserve">UNITED SPIRITS LIMITED              </t>
  </si>
  <si>
    <t>MCDOWELL-N</t>
  </si>
  <si>
    <t xml:space="preserve">TECH MAHINDRA LIMITED               </t>
  </si>
  <si>
    <t xml:space="preserve">METROPOLIS HEALTHCARE LTD           </t>
  </si>
  <si>
    <t>METROPOLIS</t>
  </si>
  <si>
    <t xml:space="preserve">MAX FINANCIAL SERV LTD              </t>
  </si>
  <si>
    <t xml:space="preserve">VEDANTA LIMITED                     </t>
  </si>
  <si>
    <t xml:space="preserve">MAHANAGAR GAS LTD.                  </t>
  </si>
  <si>
    <t xml:space="preserve">ALEMBIC PHARMA LTD                  </t>
  </si>
  <si>
    <t xml:space="preserve">MRF LTD                             </t>
  </si>
  <si>
    <t xml:space="preserve">MUTHOOT FINANCE LIMITED             </t>
  </si>
  <si>
    <t xml:space="preserve">BALKRISHNA IND. LTD                 </t>
  </si>
  <si>
    <t>BALKRISIND</t>
  </si>
  <si>
    <t xml:space="preserve">INFO EDGE (I) LTD                   </t>
  </si>
  <si>
    <t xml:space="preserve">ASTRAL LIMITED                      </t>
  </si>
  <si>
    <t xml:space="preserve">NAVIN FLUORINE INT. LTD             </t>
  </si>
  <si>
    <t xml:space="preserve">NESTLE INDIA LIMITED                </t>
  </si>
  <si>
    <t xml:space="preserve">NMDC LTD.                           </t>
  </si>
  <si>
    <t xml:space="preserve">NTPC LTD                            </t>
  </si>
  <si>
    <t xml:space="preserve">OIL AND NATURAL GAS CORP.           </t>
  </si>
  <si>
    <t xml:space="preserve">PFIZER LTD                          </t>
  </si>
  <si>
    <t xml:space="preserve">PIDILITE INDUSTRIES LTD             </t>
  </si>
  <si>
    <t>PIDILITIND</t>
  </si>
  <si>
    <t xml:space="preserve">PI INDUSTRIES LTD                   </t>
  </si>
  <si>
    <t xml:space="preserve">RBL BANK LIMITED                    </t>
  </si>
  <si>
    <t xml:space="preserve">RELIANCE INDUSTRIES LTD             </t>
  </si>
  <si>
    <t xml:space="preserve">STEEL AUTHORITY OF INDIA            </t>
  </si>
  <si>
    <t xml:space="preserve">SBI LIFE INSURANCE CO LTD           </t>
  </si>
  <si>
    <t xml:space="preserve">STATE BANK OF INDIA                 </t>
  </si>
  <si>
    <t xml:space="preserve">TATA CHEMICALS LTD                  </t>
  </si>
  <si>
    <t xml:space="preserve">TATA MOTORS LIMITED                 </t>
  </si>
  <si>
    <t>TATAMOTORS</t>
  </si>
  <si>
    <t xml:space="preserve">TATA STEEL LIMITED                  </t>
  </si>
  <si>
    <t xml:space="preserve">TITAN COMPANY LIMITED               </t>
  </si>
  <si>
    <t xml:space="preserve">TVS MOTOR COMPANY  LTD              </t>
  </si>
  <si>
    <t xml:space="preserve">DIVI'S LABORATORIES LTD             </t>
  </si>
  <si>
    <t xml:space="preserve">ULTRATECH CEMENT LIMITED            </t>
  </si>
  <si>
    <t xml:space="preserve">ZEE ENTERTAINMENT ENT LTD           </t>
  </si>
  <si>
    <t xml:space="preserve">APOLLO TYRES LTD                    </t>
  </si>
  <si>
    <t>APOLLOTYRE</t>
  </si>
  <si>
    <t xml:space="preserve">BERGER PAINTS (I) LTD               </t>
  </si>
  <si>
    <t>BERGEPAINT</t>
  </si>
  <si>
    <t xml:space="preserve">BIOCON LIMITED.                     </t>
  </si>
  <si>
    <t xml:space="preserve">BOSCH LIMITED                       </t>
  </si>
  <si>
    <t xml:space="preserve">BRITANNIA INDUSTRIES LTD            </t>
  </si>
  <si>
    <t xml:space="preserve">CADILA HEALTHCARE LIMITED           </t>
  </si>
  <si>
    <t xml:space="preserve">GRASIM INDUSTRIES LTD               </t>
  </si>
  <si>
    <t xml:space="preserve">CHOLAMANDALAM IN &amp; FIN CO           </t>
  </si>
  <si>
    <t xml:space="preserve">DR. REDDY'S LABORATORIES            </t>
  </si>
  <si>
    <t xml:space="preserve">EICHER MOTORS LTD                   </t>
  </si>
  <si>
    <t xml:space="preserve">GMR INFRASTRUCTURE LTD.             </t>
  </si>
  <si>
    <t xml:space="preserve">PIRAMAL ENTERPRISES LTD             </t>
  </si>
  <si>
    <t xml:space="preserve">POWER FIN CORP LTD.                 </t>
  </si>
  <si>
    <t xml:space="preserve">INDRAPRASTHA GAS LTD                </t>
  </si>
  <si>
    <t xml:space="preserve">REC LIMITED                         </t>
  </si>
  <si>
    <t xml:space="preserve">NIPPON L I A M LTD                  </t>
  </si>
  <si>
    <t xml:space="preserve">SHREE CEMENT LIMITED                </t>
  </si>
  <si>
    <t xml:space="preserve">STRIDES PHARMA SCI LTD              </t>
  </si>
  <si>
    <t xml:space="preserve">TATA POWER CO LTD                   </t>
  </si>
  <si>
    <t xml:space="preserve">PUNJAB NATIONAL BANK                </t>
  </si>
  <si>
    <t xml:space="preserve">TRENT LTD                           </t>
  </si>
  <si>
    <t xml:space="preserve">SHRIRAM TRANSPORT FIN CO.           </t>
  </si>
  <si>
    <t>SRTRANSFIN</t>
  </si>
  <si>
    <t xml:space="preserve">TATA CONSUMER PRODUCT LTD           </t>
  </si>
  <si>
    <t>TATACONSUM</t>
  </si>
  <si>
    <t xml:space="preserve">TORRENT PHARMACEUTICALS L           </t>
  </si>
  <si>
    <t>TORNTPHARM</t>
  </si>
  <si>
    <t xml:space="preserve">UNITED BREWERIES LTD                </t>
  </si>
  <si>
    <t xml:space="preserve">VOLTAS LTD                          </t>
  </si>
  <si>
    <t xml:space="preserve">BHARAT FORGE LTD                    </t>
  </si>
  <si>
    <t>BHARATFORG</t>
  </si>
  <si>
    <t xml:space="preserve">CONTAINER CORP OF IND LTD           </t>
  </si>
  <si>
    <t xml:space="preserve">GODREJ CONSUMER PRODUCTS            </t>
  </si>
  <si>
    <t xml:space="preserve">HAVELLS INDIA LIMITED               </t>
  </si>
  <si>
    <t xml:space="preserve">INDUS TOWERS LIMITED                </t>
  </si>
  <si>
    <t>INDUSTOWER</t>
  </si>
  <si>
    <t xml:space="preserve">KOTAK MAHINDRA BANK LTD             </t>
  </si>
  <si>
    <t xml:space="preserve">L&amp;T FINANCE HOLDINGS LTD            </t>
  </si>
  <si>
    <t xml:space="preserve">MAHINDRA &amp; MAHINDRA LTD             </t>
  </si>
  <si>
    <t xml:space="preserve">EXIDE INDUSTRIES LTD                </t>
  </si>
  <si>
    <t xml:space="preserve">MPHASIS LIMITED                     </t>
  </si>
  <si>
    <t xml:space="preserve">PETRONET LNG LIMITED                </t>
  </si>
  <si>
    <t xml:space="preserve">PVR LIMITED                         </t>
  </si>
  <si>
    <t xml:space="preserve">SIEMENS LTD                         </t>
  </si>
  <si>
    <t xml:space="preserve">WIPRO LTD                           </t>
  </si>
  <si>
    <t xml:space="preserve">COFORGE LIMITED                     </t>
  </si>
  <si>
    <t xml:space="preserve">GAIL (INDIA) LTD                    </t>
  </si>
  <si>
    <t xml:space="preserve">MOTHERSON SUMI SYSTEMS LT           </t>
  </si>
  <si>
    <t>MOTHERSUMI</t>
  </si>
  <si>
    <t xml:space="preserve">PAGE INDUSTRIES LTD                 </t>
  </si>
  <si>
    <t xml:space="preserve">THE RAMCO CEMENTS LIMITED           </t>
  </si>
  <si>
    <t xml:space="preserve">TORRENT POWER LTD                   </t>
  </si>
  <si>
    <t>TORNTPOWER</t>
  </si>
  <si>
    <t xml:space="preserve">UPL LIMITED                         </t>
  </si>
  <si>
    <t xml:space="preserve">HDFC LTD                            </t>
  </si>
  <si>
    <t xml:space="preserve">CAN FIN HOMES LTD                   </t>
  </si>
  <si>
    <t>CANFINHOME</t>
  </si>
  <si>
    <t xml:space="preserve">DIXON TECHNO (INDIA) LTD            </t>
  </si>
  <si>
    <t xml:space="preserve">HINDUSTAN AERONAUTICS LTD           </t>
  </si>
  <si>
    <t xml:space="preserve">INDIAN ENERGY EXC LTD               </t>
  </si>
  <si>
    <t xml:space="preserve">INDIAMART INTERMESH LTD             </t>
  </si>
  <si>
    <t xml:space="preserve">IPCA LABORATORIES LTD               </t>
  </si>
  <si>
    <t xml:space="preserve">MULTI COMMODITY EXCHANGE            </t>
  </si>
  <si>
    <t xml:space="preserve">ORACLE FIN SERV SOFT LTD.           </t>
  </si>
  <si>
    <t xml:space="preserve">POLYCAB INDIA LIMITED               </t>
  </si>
  <si>
    <t xml:space="preserve">SYNGENE INTERNATIONAL LTD           </t>
  </si>
  <si>
    <t>AARTIIND</t>
  </si>
  <si>
    <t>ALKEM</t>
  </si>
  <si>
    <t>ASHOKLEY</t>
  </si>
  <si>
    <t>ABFRL</t>
  </si>
  <si>
    <t>AMBUJACEM</t>
  </si>
  <si>
    <t>ADANIENT</t>
  </si>
  <si>
    <t>BHEL</t>
  </si>
  <si>
    <t>DABUR</t>
  </si>
  <si>
    <t>AUBANK</t>
  </si>
  <si>
    <t>DEEPAKNTR</t>
  </si>
  <si>
    <t>BATAINDIA</t>
  </si>
  <si>
    <t>BPCL</t>
  </si>
  <si>
    <t>HINDPETRO</t>
  </si>
  <si>
    <t>INDIGO</t>
  </si>
  <si>
    <t>CANBK</t>
  </si>
  <si>
    <t>IOC</t>
  </si>
  <si>
    <t>CIPLA</t>
  </si>
  <si>
    <t>COLPAL</t>
  </si>
  <si>
    <t>JUBLFOOD</t>
  </si>
  <si>
    <t>LTI</t>
  </si>
  <si>
    <t>CUB</t>
  </si>
  <si>
    <t>MARICO</t>
  </si>
  <si>
    <t>MINDTREE</t>
  </si>
  <si>
    <t>ESCORTS</t>
  </si>
  <si>
    <t>GLENMARK</t>
  </si>
  <si>
    <t>POWERGRID</t>
  </si>
  <si>
    <t>GRANULES</t>
  </si>
  <si>
    <t>GUJGASLTD</t>
  </si>
  <si>
    <t>HCLTECH</t>
  </si>
  <si>
    <t>HDFCAMC</t>
  </si>
  <si>
    <t>HDFCLIFE</t>
  </si>
  <si>
    <t>SRF</t>
  </si>
  <si>
    <t>ICICIGI</t>
  </si>
  <si>
    <t>IDEA</t>
  </si>
  <si>
    <t>SUNPHARMA</t>
  </si>
  <si>
    <t>INDHOTEL</t>
  </si>
  <si>
    <t>IRCTC</t>
  </si>
  <si>
    <t>ITC</t>
  </si>
  <si>
    <t>SUNTV</t>
  </si>
  <si>
    <t>LICHSGFIN</t>
  </si>
  <si>
    <t>LT</t>
  </si>
  <si>
    <t>LTTS</t>
  </si>
  <si>
    <t>M&amp;MFIN</t>
  </si>
  <si>
    <t>MARUTI</t>
  </si>
  <si>
    <t>TECHM</t>
  </si>
  <si>
    <t>MFSL</t>
  </si>
  <si>
    <t>VEDL</t>
  </si>
  <si>
    <t>MRF</t>
  </si>
  <si>
    <t>NAUKRI</t>
  </si>
  <si>
    <t>ASTRAL</t>
  </si>
  <si>
    <t>NESTLEIND</t>
  </si>
  <si>
    <t>NMDC</t>
  </si>
  <si>
    <t>NTPC</t>
  </si>
  <si>
    <t>ONGC</t>
  </si>
  <si>
    <t>PIIND</t>
  </si>
  <si>
    <t>RBLBANK</t>
  </si>
  <si>
    <t>SAIL</t>
  </si>
  <si>
    <t>SBILIFE</t>
  </si>
  <si>
    <t>TATACHEM</t>
  </si>
  <si>
    <t>TATASTEEL</t>
  </si>
  <si>
    <t>TITAN</t>
  </si>
  <si>
    <t>TVSMOTOR</t>
  </si>
  <si>
    <t>DIVISLAB</t>
  </si>
  <si>
    <t>ZEEL</t>
  </si>
  <si>
    <t>BIOCON</t>
  </si>
  <si>
    <t>BOSCHLTD</t>
  </si>
  <si>
    <t>BRITANNIA</t>
  </si>
  <si>
    <t>CADILAHC</t>
  </si>
  <si>
    <t>GRASIM</t>
  </si>
  <si>
    <t>CHOLAFIN</t>
  </si>
  <si>
    <t>EICHERMOT</t>
  </si>
  <si>
    <t>GMRINFRA</t>
  </si>
  <si>
    <t>PEL</t>
  </si>
  <si>
    <t>IGL</t>
  </si>
  <si>
    <t>RECLTD</t>
  </si>
  <si>
    <t>NAM-INDIA</t>
  </si>
  <si>
    <t>SHREECEM</t>
  </si>
  <si>
    <t>STAR</t>
  </si>
  <si>
    <t>PNB</t>
  </si>
  <si>
    <t>TRENT</t>
  </si>
  <si>
    <t>UBL</t>
  </si>
  <si>
    <t>VOLTAS</t>
  </si>
  <si>
    <t>CONCOR</t>
  </si>
  <si>
    <t>GODREJCP</t>
  </si>
  <si>
    <t>HAVELLS</t>
  </si>
  <si>
    <t>L&amp;TFH</t>
  </si>
  <si>
    <t>M&amp;M</t>
  </si>
  <si>
    <t>EXIDEIND</t>
  </si>
  <si>
    <t>MPHASIS</t>
  </si>
  <si>
    <t>PETRONET</t>
  </si>
  <si>
    <t>PVR</t>
  </si>
  <si>
    <t>SIEMENS</t>
  </si>
  <si>
    <t>WIPRO</t>
  </si>
  <si>
    <t>COFORGE</t>
  </si>
  <si>
    <t>GAIL</t>
  </si>
  <si>
    <t>PAGEIND</t>
  </si>
  <si>
    <t>RAMCOCEM</t>
  </si>
  <si>
    <t>UPL</t>
  </si>
  <si>
    <t>DIXON</t>
  </si>
  <si>
    <t>HAL</t>
  </si>
  <si>
    <t>INDIAMART</t>
  </si>
  <si>
    <t>IPCALAB</t>
  </si>
  <si>
    <t>MCX</t>
  </si>
  <si>
    <t>OFSS</t>
  </si>
  <si>
    <t>POLYCAB</t>
  </si>
  <si>
    <t>SYNGENE</t>
  </si>
  <si>
    <t>Coments</t>
  </si>
  <si>
    <t>No Liquidity</t>
  </si>
  <si>
    <t>Open</t>
  </si>
  <si>
    <t>High</t>
  </si>
  <si>
    <t>Low</t>
  </si>
  <si>
    <t>Last Traded Price</t>
  </si>
  <si>
    <t>Change</t>
  </si>
  <si>
    <t>%Change</t>
  </si>
  <si>
    <t>Traded Volume(lacs)</t>
  </si>
  <si>
    <t>Traded Value(crs)</t>
  </si>
  <si>
    <t>52 Week High</t>
  </si>
  <si>
    <t>52 Week Low</t>
  </si>
  <si>
    <t>365 Days % Change</t>
  </si>
  <si>
    <t>30 Days % Change</t>
  </si>
  <si>
    <t>Source</t>
  </si>
  <si>
    <t>https://www1.nseindia.com/live_market/dynaContent/live_watch/equities_stock_watch.htm</t>
  </si>
  <si>
    <t>CE</t>
  </si>
  <si>
    <t>PE</t>
  </si>
  <si>
    <t>Contracts</t>
  </si>
  <si>
    <t>Period (Days)</t>
  </si>
  <si>
    <t>LOTS</t>
  </si>
  <si>
    <t>TATAELXSI</t>
  </si>
  <si>
    <t>CMP</t>
  </si>
  <si>
    <t>My Research</t>
  </si>
  <si>
    <t>Industry</t>
  </si>
  <si>
    <t>Price Forecast (1 Yr)</t>
  </si>
  <si>
    <t>Support</t>
  </si>
  <si>
    <t>Resistance</t>
  </si>
  <si>
    <t>145'140'138</t>
  </si>
  <si>
    <t>147'153'161</t>
  </si>
  <si>
    <t>1179'1169'1138</t>
  </si>
  <si>
    <t>685'683,659</t>
  </si>
  <si>
    <t>700'704'707</t>
  </si>
  <si>
    <t>4828'4706</t>
  </si>
  <si>
    <t>4935'4966</t>
  </si>
  <si>
    <t>Delta</t>
  </si>
  <si>
    <t>PUT Strike %</t>
  </si>
  <si>
    <t>NIFTY</t>
  </si>
  <si>
    <t>FV</t>
  </si>
  <si>
    <t>Rate</t>
  </si>
  <si>
    <t>Vol</t>
  </si>
  <si>
    <t>BANKNIFTY</t>
  </si>
  <si>
    <t>NIFTY FINANCIAL SERVICES</t>
  </si>
  <si>
    <t>30 D % CHNG 
 13-Aug-2021</t>
  </si>
  <si>
    <t>BPS #</t>
  </si>
  <si>
    <t>Hstrike</t>
  </si>
  <si>
    <t>Lstrike</t>
  </si>
  <si>
    <t>Max Loss</t>
  </si>
  <si>
    <t>Risk/Reward</t>
  </si>
  <si>
    <t>Actual Credit</t>
  </si>
  <si>
    <t>Desired Contracts</t>
  </si>
  <si>
    <t>Total Margin</t>
  </si>
  <si>
    <t>Total Max Credit</t>
  </si>
  <si>
    <t>Total Max Loss</t>
  </si>
  <si>
    <t>Strike/Underlying</t>
  </si>
  <si>
    <t>Candidates</t>
  </si>
  <si>
    <t>Instrument</t>
  </si>
  <si>
    <t>Current Underlying</t>
  </si>
  <si>
    <t>Desired Monthly Income</t>
  </si>
  <si>
    <t>Max Margin</t>
  </si>
  <si>
    <t>Selected BPS</t>
  </si>
  <si>
    <t>Annual Return</t>
  </si>
  <si>
    <t>Margin Reqs</t>
  </si>
  <si>
    <t>Lots</t>
  </si>
  <si>
    <t>NIFTY DOWN --&gt;</t>
  </si>
  <si>
    <t>Max Profit</t>
  </si>
  <si>
    <t>Exit Strategy</t>
  </si>
  <si>
    <t xml:space="preserve">Max date </t>
  </si>
  <si>
    <t>Underlying Stop Loss Lvl</t>
  </si>
  <si>
    <t>First buy back short put leg</t>
  </si>
  <si>
    <t>Then Sell long put leg</t>
  </si>
  <si>
    <t>Comments</t>
  </si>
  <si>
    <t>Imp Vol</t>
  </si>
  <si>
    <t>.</t>
  </si>
  <si>
    <t>Div</t>
  </si>
  <si>
    <t>Type</t>
  </si>
  <si>
    <t>ongc</t>
  </si>
  <si>
    <t>SBI</t>
  </si>
  <si>
    <t>L/S</t>
  </si>
  <si>
    <t>Max Drawdown</t>
  </si>
  <si>
    <t>Max Drawdown %</t>
  </si>
  <si>
    <t>Total</t>
  </si>
  <si>
    <t>Collateral</t>
  </si>
  <si>
    <t>Underlying</t>
  </si>
  <si>
    <t>ToT</t>
  </si>
  <si>
    <t>5 Day</t>
  </si>
  <si>
    <t>10 Day</t>
  </si>
  <si>
    <t>20 Day</t>
  </si>
  <si>
    <t>50 Day</t>
  </si>
  <si>
    <t>100 Day</t>
  </si>
  <si>
    <t>200 Day</t>
  </si>
  <si>
    <t>Tot</t>
  </si>
  <si>
    <t>Margin (as Prem X)</t>
  </si>
  <si>
    <t>P_low</t>
  </si>
  <si>
    <t>P_high</t>
  </si>
  <si>
    <t>C_Low</t>
  </si>
  <si>
    <t>C_high</t>
  </si>
  <si>
    <t>ATM</t>
  </si>
  <si>
    <t>Distance</t>
  </si>
  <si>
    <t>Val Date</t>
  </si>
  <si>
    <t>Payoff</t>
  </si>
  <si>
    <t>Iron Butterfly Condor -- &gt;</t>
  </si>
  <si>
    <t xml:space="preserve">FIIs DIIs </t>
  </si>
  <si>
    <t xml:space="preserve"> </t>
  </si>
  <si>
    <t xml:space="preserve">If I am an FII, </t>
  </si>
  <si>
    <t xml:space="preserve">I have lots of cash holding of stocks... </t>
  </si>
  <si>
    <t xml:space="preserve">Now I can do multiple things with it, </t>
  </si>
  <si>
    <t xml:space="preserve">In a bullish market- </t>
  </si>
  <si>
    <t xml:space="preserve">1)Keep holding it and hedge them with Index put options...  </t>
  </si>
  <si>
    <t xml:space="preserve">2) Sell out of the money call options and if it goes in risk, exit the holding and pay MTM off... </t>
  </si>
  <si>
    <t xml:space="preserve">In bearish Market- </t>
  </si>
  <si>
    <t xml:space="preserve">1) Keep selling in futures, so that the value decline in cash holdings is offset... </t>
  </si>
  <si>
    <t xml:space="preserve">2) sell in futures and dump the stocks even more and square off at even a lower level, and then again buy stocks... </t>
  </si>
  <si>
    <t xml:space="preserve">In a sideways market- </t>
  </si>
  <si>
    <t xml:space="preserve">1) buy puts, to protect downside... </t>
  </si>
  <si>
    <t xml:space="preserve">2) sell futures offset with cash holdings </t>
  </si>
  <si>
    <t xml:space="preserve">3) buy call options to earn any upside... </t>
  </si>
  <si>
    <t xml:space="preserve">Current scenario is of sideways market... And the data sheet data gets circulated regarding pro fii dii positions, doesnt include their holdings in cash, that's why most of the reading of people is not correct... </t>
  </si>
  <si>
    <t xml:space="preserve">Hope now you will be able to understand that data better... </t>
  </si>
  <si>
    <t xml:space="preserve">If I am a DII- </t>
  </si>
  <si>
    <t xml:space="preserve">Whether I am mutual fund, lic, bank, nbfc, pension fund, </t>
  </si>
  <si>
    <t xml:space="preserve">I am not allowed to take any naked position in derivatives... </t>
  </si>
  <si>
    <t xml:space="preserve">And cash buying and selling will only depend on my investment policy and money inflow or outflow from public on a given day... </t>
  </si>
  <si>
    <t>P1</t>
  </si>
  <si>
    <t>P2</t>
  </si>
  <si>
    <t>P3</t>
  </si>
  <si>
    <t>P4</t>
  </si>
  <si>
    <t>P5</t>
  </si>
  <si>
    <t>P6</t>
  </si>
  <si>
    <t>P7</t>
  </si>
  <si>
    <t>C1</t>
  </si>
  <si>
    <t>C7</t>
  </si>
  <si>
    <t>C6</t>
  </si>
  <si>
    <t>C5</t>
  </si>
  <si>
    <t>C4</t>
  </si>
  <si>
    <t>C3</t>
  </si>
  <si>
    <t>C2</t>
  </si>
  <si>
    <t>User Price</t>
  </si>
  <si>
    <t>OC Price</t>
  </si>
  <si>
    <t>Income</t>
  </si>
  <si>
    <t>Pledge</t>
  </si>
  <si>
    <t>Units</t>
  </si>
  <si>
    <t>Haircut</t>
  </si>
  <si>
    <t>NAV</t>
  </si>
  <si>
    <t>Axis Liquid</t>
  </si>
  <si>
    <t>NIFTY BEES</t>
  </si>
  <si>
    <t>Total Premium</t>
  </si>
  <si>
    <t>ICICI PRU NIFTY</t>
  </si>
  <si>
    <t xml:space="preserve">ICICI PRU CREDIT </t>
  </si>
  <si>
    <t xml:space="preserve">SL </t>
  </si>
  <si>
    <t>INFOEDGE</t>
  </si>
  <si>
    <t>BLUEDART</t>
  </si>
  <si>
    <t>5,412.00</t>
  </si>
  <si>
    <t>2,435.00</t>
  </si>
  <si>
    <t>6,795.00</t>
  </si>
  <si>
    <t>6,097.25</t>
  </si>
  <si>
    <t>4,688.95</t>
  </si>
  <si>
    <t>6,860.00</t>
  </si>
  <si>
    <t>IndexError: list index out of range
    stockQuote = stockQuote['data'][0][id]
  File "f:\mrig analytics\development\mriganalytics\interface\pyxcel.py", line 140, in mrigxl_getStockQuote
    ret = func(*args)
  File "F:\Programs\anaconda\lib\site-packages\xlwings\udfs.py", line 519, in call_udf
    res = call_udf(script, fname, args, this_workbook, FromVariant(caller))
  File "F:\Programs\anaconda\lib\site-packages\xlwings\server.py", line 198, in CallUDF
    return func(*args)
  File "F:\Programs\anaconda\lib\site-packages\win32com\server\policy.py", line 586, in _invokeex_
    return S_OK, -1, self._invokeex_(dispid, lcid, wFlags, args, None, None)
  File "F:\Programs\anaconda\lib\site-packages\win32com\server\policy.py", line 283, in _invoke_
    return self._invoke_(dispid, lcid, wFlags, args)
  File "F:\Programs\anaconda\lib\site-packages\win32com\server\policy.py", line 278, in _Invoke_</t>
  </si>
  <si>
    <t>illiquid</t>
  </si>
  <si>
    <t>DivYield</t>
  </si>
  <si>
    <t>MTM</t>
  </si>
  <si>
    <t>MTM %</t>
  </si>
  <si>
    <t>TGT Exit Price</t>
  </si>
  <si>
    <t>Expected Return</t>
  </si>
  <si>
    <t>PLEDGE MARGIN  - &gt;</t>
  </si>
  <si>
    <t>TOTAL MARGIN  -&gt;</t>
  </si>
  <si>
    <t>FUT</t>
  </si>
  <si>
    <t>Target</t>
  </si>
  <si>
    <t>STK</t>
  </si>
  <si>
    <t>IDX</t>
  </si>
  <si>
    <t>Ins</t>
  </si>
  <si>
    <t>Hedge ratio</t>
  </si>
  <si>
    <t>FINNIFTY</t>
  </si>
  <si>
    <t/>
  </si>
  <si>
    <t>IN</t>
  </si>
  <si>
    <t>STO</t>
  </si>
  <si>
    <t>Actual Return</t>
  </si>
  <si>
    <t>ST</t>
  </si>
  <si>
    <t>Future Exposre</t>
  </si>
  <si>
    <t>Column Labels</t>
  </si>
  <si>
    <t>Grand Total</t>
  </si>
  <si>
    <t>Sum of Future Exposre</t>
  </si>
  <si>
    <t>Future Exposure</t>
  </si>
  <si>
    <t>Lacs</t>
  </si>
  <si>
    <t>Overall Gain</t>
  </si>
  <si>
    <t>Monthly Gain</t>
  </si>
  <si>
    <t>Dividend/Defensive</t>
  </si>
  <si>
    <t>Sector</t>
  </si>
  <si>
    <t>EV</t>
  </si>
  <si>
    <t>Rural Demand</t>
  </si>
  <si>
    <t>Middle Class</t>
  </si>
  <si>
    <t>Digital Inclusion</t>
  </si>
  <si>
    <t>Month</t>
  </si>
  <si>
    <t>Positions</t>
  </si>
  <si>
    <t>Entry</t>
  </si>
  <si>
    <t>Call Strike (Upside)</t>
  </si>
  <si>
    <t>Call Yield</t>
  </si>
  <si>
    <t>Put Strike</t>
  </si>
  <si>
    <t>Put Cost</t>
  </si>
  <si>
    <t>Put Funding</t>
  </si>
  <si>
    <t>Net Rent Yield</t>
  </si>
  <si>
    <t>Exit</t>
  </si>
  <si>
    <t>Downside Protection</t>
  </si>
  <si>
    <t>Strike (Put Funding)</t>
  </si>
  <si>
    <t>Stock Rental</t>
  </si>
  <si>
    <t>Call Price (Rent)</t>
  </si>
  <si>
    <t>Yield/Return</t>
  </si>
  <si>
    <t>Net Rent</t>
  </si>
  <si>
    <t>Usge</t>
  </si>
  <si>
    <t>Withdrawal</t>
  </si>
  <si>
    <t>Reinvesments</t>
  </si>
  <si>
    <t>Stocks</t>
  </si>
  <si>
    <t>Unwithdrawn</t>
  </si>
  <si>
    <t>PnL (L)</t>
  </si>
  <si>
    <t>LOCALHOST</t>
  </si>
  <si>
    <t>BALRAMCHIN</t>
  </si>
  <si>
    <t>OI</t>
  </si>
  <si>
    <t>CHNG IN OI</t>
  </si>
  <si>
    <t>VOLUME</t>
  </si>
  <si>
    <t>LTP</t>
  </si>
  <si>
    <t>CHNG</t>
  </si>
  <si>
    <t>BID QTY</t>
  </si>
  <si>
    <t>BID PRICE</t>
  </si>
  <si>
    <t>ASK PRICE</t>
  </si>
  <si>
    <t>ASK QTY</t>
  </si>
  <si>
    <t>STRIKE PRICE</t>
  </si>
  <si>
    <t>-</t>
  </si>
  <si>
    <t>Entry Price (P_f)</t>
  </si>
  <si>
    <t>Lot Size, S</t>
  </si>
  <si>
    <t>Lots, N_f</t>
  </si>
  <si>
    <t>Max Loss/Scrip, L</t>
  </si>
  <si>
    <t>Call Price, P_c</t>
  </si>
  <si>
    <t>Call Strike, K_c</t>
  </si>
  <si>
    <t>Call Lots, N_c</t>
  </si>
  <si>
    <t>Put Price, P_p</t>
  </si>
  <si>
    <t>Put Strike, K_p</t>
  </si>
  <si>
    <t>Put Lots, N_p</t>
  </si>
  <si>
    <t>Fut Gain</t>
  </si>
  <si>
    <t>Fut</t>
  </si>
  <si>
    <t>Put Hedge</t>
  </si>
  <si>
    <t>Call Rent</t>
  </si>
  <si>
    <t>Product</t>
  </si>
  <si>
    <t>Qty.</t>
  </si>
  <si>
    <t>Avg.</t>
  </si>
  <si>
    <t>P&amp;L</t>
  </si>
  <si>
    <t>Chg.</t>
  </si>
  <si>
    <t>NRML</t>
  </si>
  <si>
    <t>BALRAMCHIN22JUL370PE</t>
  </si>
  <si>
    <t>BALRAMCHIN22JUL400CE</t>
  </si>
  <si>
    <t>BALRAMCHIN22JULFUT</t>
  </si>
  <si>
    <t>BANKNIFTY22AUGFUT</t>
  </si>
  <si>
    <t>BANKNIFTY22JUL34000PE</t>
  </si>
  <si>
    <t>BANKNIFTY22JUL35000CE</t>
  </si>
  <si>
    <t>BANKNIFTY22JUL36000CE</t>
  </si>
  <si>
    <t>HINDUNILVR22AUGFUT</t>
  </si>
  <si>
    <t>HINDUNILVR22JUL2440CE</t>
  </si>
  <si>
    <t>HINDUNILVR22JUL2480CE</t>
  </si>
  <si>
    <t>IEX22JUL160PE</t>
  </si>
  <si>
    <t>IEX22JUL170CE</t>
  </si>
  <si>
    <t>IEX22JUL172.5CE</t>
  </si>
  <si>
    <t>IEX22JUL175CE</t>
  </si>
  <si>
    <t>IEX22JULFUT</t>
  </si>
  <si>
    <t>LT22AUGFUT</t>
  </si>
  <si>
    <t>LT22JUL1640CE</t>
  </si>
  <si>
    <t>LT22JUL1640PE</t>
  </si>
  <si>
    <t>LT22JUL1700CE</t>
  </si>
  <si>
    <t>NIFTY22JUL15200PE</t>
  </si>
  <si>
    <t>NIFTY22JUL16000PE</t>
  </si>
  <si>
    <t>NIFTY22JUL16500CE</t>
  </si>
  <si>
    <t>NIFTY22JUL16600CE</t>
  </si>
  <si>
    <t>NIFTY22JUL16650CE</t>
  </si>
  <si>
    <t>NIFTY22JULFUT</t>
  </si>
  <si>
    <t>SRF22JUL2300CE</t>
  </si>
  <si>
    <t>SRF22JUL2300PE</t>
  </si>
  <si>
    <t>SRF22JUL2400CE</t>
  </si>
  <si>
    <t>SRF22JUL2500CE</t>
  </si>
  <si>
    <t>SRF22JULFUT</t>
  </si>
  <si>
    <t>TATAMOTORS22AUGFUT</t>
  </si>
  <si>
    <t>TATAMOTORS22JUL430PE</t>
  </si>
  <si>
    <t>TATAMOTORS22JUL450CE</t>
  </si>
  <si>
    <t>TATAMOTORS22JUL460CE</t>
  </si>
  <si>
    <t>TATAPOWER22JUL210PE</t>
  </si>
  <si>
    <t>TATAPOWER22JUL230CE</t>
  </si>
  <si>
    <t>TATAPOWER22JUL235CE</t>
  </si>
  <si>
    <t>TATAPOWER22JULFUT</t>
  </si>
  <si>
    <t>TCS22JUL3200PE</t>
  </si>
  <si>
    <t>TCS22JUL3400CE</t>
  </si>
  <si>
    <t>TCS22JUL3500CE</t>
  </si>
  <si>
    <t>TCS22JULFUT</t>
  </si>
  <si>
    <t>Gross Delta</t>
  </si>
  <si>
    <t>Frac Delta</t>
  </si>
  <si>
    <t>HINDUNILVR22JUL2460PE</t>
  </si>
  <si>
    <t>HINDUNILVR22JUL2540CE</t>
  </si>
  <si>
    <t>LT22JUL1620PE</t>
  </si>
  <si>
    <t>NIFTY22JUL15300PE</t>
  </si>
  <si>
    <t>NIFTY22JUL15400PE</t>
  </si>
  <si>
    <t>CNC</t>
  </si>
  <si>
    <t>JYOTHYLAB</t>
  </si>
  <si>
    <t>VBL</t>
  </si>
  <si>
    <t>Long1</t>
  </si>
  <si>
    <t>Long2</t>
  </si>
  <si>
    <t>Long3</t>
  </si>
  <si>
    <t>Short1</t>
  </si>
  <si>
    <t>Short2</t>
  </si>
  <si>
    <t>Short3</t>
  </si>
  <si>
    <t>Spot</t>
  </si>
  <si>
    <t>TtM</t>
  </si>
  <si>
    <t>Deal P</t>
  </si>
  <si>
    <t>Int V</t>
  </si>
  <si>
    <t>Time V</t>
  </si>
  <si>
    <t>Fair P</t>
  </si>
  <si>
    <t>C</t>
  </si>
  <si>
    <t>Max Upmove Yield</t>
  </si>
  <si>
    <t>Max Downmove Yield</t>
  </si>
  <si>
    <t xml:space="preserve">Max Upmove </t>
  </si>
  <si>
    <t>Max Downmove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</si>
</sst>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64" formatCode="_ * #,##0.00_ ;_ * \-#,##0.00_ ;_ * &quot;-&quot;??_ ;_ @_ "/>
    <numFmt numFmtId="165" formatCode="[&gt;=10000000]#\,##\,##\,##0.00;[&gt;=100000]#\,##\,##0.00;##,##0.00"/>
    <numFmt numFmtId="166" formatCode="[$-409]d\-mmm\-yy;@"/>
    <numFmt numFmtId="167" formatCode="0.0"/>
    <numFmt numFmtId="168" formatCode="0.000%"/>
    <numFmt numFmtId="169" formatCode="[$-24009]dddd\,\ mmmm\ dd\,\ yyyy;@"/>
    <numFmt numFmtId="170" formatCode="_ * #,##0_ ;_ * \-#,##0_ ;_ * &quot;-&quot;??_ ;_ @_ "/>
    <numFmt numFmtId="171" formatCode="[$-24009]m/d/yy;@"/>
    <numFmt numFmtId="172" formatCode="_ * #,##0.0000000_ ;_ * \-#,##0.0000000_ ;_ * &quot;-&quot;??_ ;_ @_ "/>
    <numFmt numFmtId="173" formatCode="0.0%"/>
    <numFmt numFmtId="174" formatCode="[$-F800]dddd\,\ mmmm\ dd\,\ yyyy"/>
    <numFmt numFmtId="175" formatCode="#,##0.00_ ;[Red]\-#,##0.00\ "/>
  </numFmts>
  <fonts count="14">
    <font>
      <sz val="11"/>
      <color theme="1"/>
      <name val="Calibri"/>
      <family val="2"/>
      <scheme val="minor"/>
    </font>
    <font>
      <sz val="11"/>
      <color theme="1"/>
      <name val="Calibri"/>
      <family val="2"/>
      <scheme val="minor"/>
    </font>
    <font>
      <sz val="10"/>
      <color rgb="FF0070C0"/>
      <name val="Terminal"/>
      <family val="3"/>
      <charset val="255"/>
    </font>
    <font>
      <sz val="10"/>
      <name val="Terminal"/>
      <family val="3"/>
      <charset val="255"/>
    </font>
    <font>
      <b/>
      <sz val="11"/>
      <color theme="0"/>
      <name val="Terminal"/>
      <family val="3"/>
      <charset val="255"/>
    </font>
    <font>
      <b/>
      <sz val="11"/>
      <color theme="0"/>
      <name val="Calibri"/>
      <family val="2"/>
      <scheme val="minor"/>
    </font>
    <font>
      <b/>
      <sz val="12"/>
      <color theme="0"/>
      <name val="Calibri"/>
      <family val="2"/>
      <scheme val="minor"/>
    </font>
    <font>
      <sz val="12"/>
      <color theme="1"/>
      <name val="Calibri"/>
      <family val="2"/>
      <scheme val="minor"/>
    </font>
    <font>
      <b/>
      <sz val="12"/>
      <color theme="1"/>
      <name val="Calibri"/>
      <family val="2"/>
      <scheme val="minor"/>
    </font>
    <font>
      <sz val="11"/>
      <color rgb="FF000000"/>
      <name val="Courier New"/>
      <family val="3"/>
    </font>
    <font>
      <b/>
      <sz val="11"/>
      <name val="Terminal"/>
    </font>
    <font>
      <sz val="11"/>
      <color rgb="FFFF0000"/>
      <name val="Calibri"/>
      <family val="2"/>
      <scheme val="minor"/>
    </font>
    <font>
      <b/>
      <sz val="10"/>
      <color rgb="FF0070C0"/>
      <name val="Terminal"/>
    </font>
    <font>
      <sz val="14"/>
      <color rgb="FFFF0000"/>
      <name val="Calibri"/>
      <family val="2"/>
      <scheme val="minor"/>
    </font>
  </fonts>
  <fills count="21">
    <fill>
      <patternFill patternType="none"/>
    </fill>
    <fill>
      <patternFill patternType="gray125"/>
    </fill>
    <fill>
      <patternFill patternType="solid">
        <fgColor indexed="26"/>
        <bgColor indexed="26"/>
      </patternFill>
    </fill>
    <fill>
      <patternFill patternType="solid">
        <fgColor rgb="FF00B0F0"/>
        <bgColor auto="1"/>
      </patternFill>
    </fill>
    <fill>
      <patternFill patternType="solid">
        <fgColor rgb="FF0070C0"/>
        <bgColor theme="0"/>
      </patternFill>
    </fill>
    <fill>
      <patternFill patternType="solid">
        <fgColor indexed="65"/>
        <bgColor theme="0"/>
      </patternFill>
    </fill>
    <fill>
      <patternFill patternType="solid">
        <fgColor rgb="FFFFFF00"/>
        <bgColor theme="0"/>
      </patternFill>
    </fill>
    <fill>
      <patternFill patternType="solid">
        <fgColor rgb="FF92D050"/>
        <bgColor theme="0"/>
      </patternFill>
    </fill>
    <fill>
      <patternFill patternType="solid">
        <fgColor theme="7"/>
        <bgColor theme="0"/>
      </patternFill>
    </fill>
    <fill>
      <patternFill patternType="solid">
        <fgColor rgb="FFFFFF00"/>
        <bgColor indexed="64"/>
      </patternFill>
    </fill>
    <fill>
      <patternFill patternType="solid">
        <fgColor theme="7" tint="0.59999389629810485"/>
        <bgColor indexed="64"/>
      </patternFill>
    </fill>
    <fill>
      <patternFill patternType="solid">
        <fgColor theme="4" tint="0.39997558519241921"/>
        <bgColor theme="0"/>
      </patternFill>
    </fill>
    <fill>
      <patternFill patternType="solid">
        <fgColor rgb="FFFFC000"/>
        <bgColor indexed="64"/>
      </patternFill>
    </fill>
    <fill>
      <patternFill patternType="solid">
        <fgColor rgb="FF92D050"/>
        <bgColor indexed="64"/>
      </patternFill>
    </fill>
    <fill>
      <patternFill patternType="solid">
        <fgColor theme="2"/>
        <bgColor indexed="64"/>
      </patternFill>
    </fill>
    <fill>
      <patternFill patternType="solid">
        <fgColor theme="7" tint="0.79998168889431442"/>
        <bgColor indexed="64"/>
      </patternFill>
    </fill>
    <fill>
      <patternFill patternType="solid">
        <fgColor theme="7" tint="0.59999389629810485"/>
        <bgColor theme="0"/>
      </patternFill>
    </fill>
    <fill>
      <patternFill patternType="solid">
        <fgColor theme="7" tint="0.39997558519241921"/>
        <bgColor theme="0"/>
      </patternFill>
    </fill>
    <fill>
      <patternFill patternType="solid">
        <fgColor rgb="FFFFFF66"/>
        <bgColor indexed="64"/>
      </patternFill>
    </fill>
    <fill>
      <patternFill patternType="solid">
        <fgColor rgb="FF66FFFF"/>
        <bgColor indexed="64"/>
      </patternFill>
    </fill>
    <fill>
      <patternFill patternType="solid">
        <fgColor rgb="FFFFC000"/>
        <bgColor theme="0"/>
      </patternFill>
    </fill>
  </fills>
  <borders count="18">
    <border>
      <left/>
      <right/>
      <top/>
      <bottom/>
      <diagonal/>
    </border>
    <border>
      <left style="thin">
        <color rgb="FF00B0F0"/>
      </left>
      <right/>
      <top style="thin">
        <color rgb="FF00B0F0"/>
      </top>
      <bottom style="thin">
        <color rgb="FF00B0F0"/>
      </bottom>
      <diagonal/>
    </border>
    <border>
      <left style="thin">
        <color rgb="FF00B0F0"/>
      </left>
      <right style="thin">
        <color rgb="FF00B0F0"/>
      </right>
      <top style="thin">
        <color rgb="FF00B0F0"/>
      </top>
      <bottom style="thin">
        <color rgb="FF00B0F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3">
    <xf numFmtId="0" fontId="0" fillId="0" borderId="0"/>
    <xf numFmtId="9" fontId="1" fillId="0" borderId="0" applyFont="0" applyFill="0" applyBorder="0" applyAlignment="0" applyProtection="0"/>
    <xf numFmtId="164" fontId="1" fillId="0" borderId="0" applyFont="0" applyFill="0" applyBorder="0" applyAlignment="0" applyProtection="0"/>
  </cellStyleXfs>
  <cellXfs count="197">
    <xf numFmtId="0" fontId="0" fillId="0" borderId="0" xfId="0"/>
    <xf numFmtId="165" fontId="2" fillId="2" borderId="1" xfId="0" applyNumberFormat="1" applyFont="1" applyFill="1" applyBorder="1" applyProtection="1">
      <protection locked="0"/>
    </xf>
    <xf numFmtId="165" fontId="3" fillId="2" borderId="2" xfId="0" applyNumberFormat="1" applyFont="1" applyFill="1" applyBorder="1" applyProtection="1">
      <protection locked="0"/>
    </xf>
    <xf numFmtId="165" fontId="2" fillId="2" borderId="1" xfId="0" applyNumberFormat="1" applyFont="1" applyFill="1" applyBorder="1" applyAlignment="1" applyProtection="1">
      <alignment horizontal="center"/>
      <protection locked="0"/>
    </xf>
    <xf numFmtId="165" fontId="2" fillId="2" borderId="1" xfId="0" applyNumberFormat="1" applyFont="1" applyFill="1" applyBorder="1" applyAlignment="1" applyProtection="1">
      <alignment horizontal="left"/>
      <protection locked="0"/>
    </xf>
    <xf numFmtId="165" fontId="4" fillId="3" borderId="2" xfId="0" applyNumberFormat="1" applyFont="1" applyFill="1" applyBorder="1"/>
    <xf numFmtId="165" fontId="2" fillId="2" borderId="1" xfId="0" applyNumberFormat="1" applyFont="1" applyFill="1" applyBorder="1" applyAlignment="1" applyProtection="1">
      <alignment horizontal="center" wrapText="1"/>
      <protection locked="0"/>
    </xf>
    <xf numFmtId="9" fontId="0" fillId="0" borderId="0" xfId="0" applyNumberFormat="1"/>
    <xf numFmtId="10" fontId="0" fillId="0" borderId="0" xfId="0" applyNumberFormat="1"/>
    <xf numFmtId="166" fontId="2" fillId="2" borderId="1" xfId="0" applyNumberFormat="1" applyFont="1" applyFill="1" applyBorder="1" applyAlignment="1" applyProtection="1">
      <alignment horizontal="left"/>
      <protection locked="0"/>
    </xf>
    <xf numFmtId="0" fontId="5" fillId="4" borderId="3" xfId="0" applyFont="1" applyFill="1" applyBorder="1"/>
    <xf numFmtId="0" fontId="0" fillId="5" borderId="0" xfId="0" applyFill="1"/>
    <xf numFmtId="0" fontId="0" fillId="6" borderId="3" xfId="0" applyFill="1" applyBorder="1"/>
    <xf numFmtId="0" fontId="0" fillId="5" borderId="3" xfId="0" applyFill="1" applyBorder="1"/>
    <xf numFmtId="10" fontId="0" fillId="8" borderId="3" xfId="0" applyNumberFormat="1" applyFill="1" applyBorder="1"/>
    <xf numFmtId="0" fontId="0" fillId="7" borderId="3" xfId="0" applyFill="1" applyBorder="1" applyAlignment="1">
      <alignment horizontal="center"/>
    </xf>
    <xf numFmtId="0" fontId="0" fillId="8" borderId="3" xfId="0" applyFill="1" applyBorder="1" applyAlignment="1">
      <alignment horizontal="center"/>
    </xf>
    <xf numFmtId="10" fontId="0" fillId="8" borderId="3" xfId="1" applyNumberFormat="1" applyFont="1" applyFill="1" applyBorder="1" applyAlignment="1">
      <alignment horizontal="center"/>
    </xf>
    <xf numFmtId="9" fontId="0" fillId="5" borderId="0" xfId="0" applyNumberFormat="1" applyFill="1"/>
    <xf numFmtId="0" fontId="7" fillId="6" borderId="3" xfId="0" applyFont="1" applyFill="1" applyBorder="1"/>
    <xf numFmtId="0" fontId="7" fillId="5" borderId="3" xfId="0" applyFont="1" applyFill="1" applyBorder="1"/>
    <xf numFmtId="0" fontId="8" fillId="6" borderId="3" xfId="0" applyFont="1" applyFill="1" applyBorder="1"/>
    <xf numFmtId="0" fontId="7" fillId="5" borderId="0" xfId="0" applyFont="1" applyFill="1"/>
    <xf numFmtId="10" fontId="7" fillId="8" borderId="3" xfId="1" applyNumberFormat="1" applyFont="1" applyFill="1" applyBorder="1"/>
    <xf numFmtId="0" fontId="6" fillId="4" borderId="3" xfId="0" applyFont="1" applyFill="1" applyBorder="1" applyAlignment="1">
      <alignment horizontal="left" vertical="center"/>
    </xf>
    <xf numFmtId="164" fontId="0" fillId="8" borderId="3" xfId="2" applyFont="1" applyFill="1" applyBorder="1"/>
    <xf numFmtId="164" fontId="0" fillId="7" borderId="3" xfId="2" applyFont="1" applyFill="1" applyBorder="1" applyAlignment="1">
      <alignment horizontal="center"/>
    </xf>
    <xf numFmtId="164" fontId="0" fillId="8" borderId="3" xfId="2" applyFont="1" applyFill="1" applyBorder="1" applyAlignment="1">
      <alignment horizontal="center"/>
    </xf>
    <xf numFmtId="164" fontId="7" fillId="8" borderId="3" xfId="2" applyFont="1" applyFill="1" applyBorder="1"/>
    <xf numFmtId="164" fontId="0" fillId="5" borderId="0" xfId="0" applyNumberFormat="1" applyFill="1"/>
    <xf numFmtId="10" fontId="0" fillId="7" borderId="3" xfId="1" applyNumberFormat="1" applyFont="1" applyFill="1" applyBorder="1" applyAlignment="1">
      <alignment horizontal="center"/>
    </xf>
    <xf numFmtId="164" fontId="7" fillId="5" borderId="3" xfId="0" applyNumberFormat="1" applyFont="1" applyFill="1" applyBorder="1"/>
    <xf numFmtId="0" fontId="0" fillId="9" borderId="0" xfId="0" applyFill="1"/>
    <xf numFmtId="164" fontId="0" fillId="0" borderId="0" xfId="2" applyFont="1"/>
    <xf numFmtId="10" fontId="0" fillId="0" borderId="0" xfId="1" applyNumberFormat="1" applyFont="1"/>
    <xf numFmtId="16" fontId="0" fillId="0" borderId="0" xfId="0" applyNumberFormat="1"/>
    <xf numFmtId="14" fontId="0" fillId="0" borderId="0" xfId="0" applyNumberFormat="1"/>
    <xf numFmtId="10" fontId="0" fillId="10" borderId="0" xfId="1" applyNumberFormat="1" applyFont="1" applyFill="1"/>
    <xf numFmtId="17" fontId="0" fillId="0" borderId="0" xfId="0" applyNumberFormat="1"/>
    <xf numFmtId="0" fontId="9" fillId="0" borderId="0" xfId="0" applyFont="1" applyAlignment="1">
      <alignment horizontal="left" vertical="center"/>
    </xf>
    <xf numFmtId="4" fontId="0" fillId="0" borderId="0" xfId="0" applyNumberFormat="1"/>
    <xf numFmtId="164" fontId="0" fillId="7" borderId="3" xfId="0" applyNumberFormat="1" applyFill="1" applyBorder="1" applyAlignment="1">
      <alignment horizontal="center"/>
    </xf>
    <xf numFmtId="16" fontId="0" fillId="9" borderId="0" xfId="0" applyNumberFormat="1" applyFill="1"/>
    <xf numFmtId="164" fontId="0" fillId="9" borderId="0" xfId="2" applyFont="1" applyFill="1"/>
    <xf numFmtId="10" fontId="0" fillId="9" borderId="0" xfId="1" applyNumberFormat="1" applyFont="1" applyFill="1"/>
    <xf numFmtId="164" fontId="0" fillId="9" borderId="0" xfId="0" applyNumberFormat="1" applyFill="1"/>
    <xf numFmtId="0" fontId="0" fillId="0" borderId="0" xfId="0" applyAlignment="1">
      <alignment wrapText="1"/>
    </xf>
    <xf numFmtId="0" fontId="0" fillId="9" borderId="3" xfId="0" applyFill="1" applyBorder="1"/>
    <xf numFmtId="0" fontId="0" fillId="0" borderId="3" xfId="0" applyBorder="1"/>
    <xf numFmtId="17" fontId="0" fillId="0" borderId="3" xfId="0" applyNumberFormat="1" applyBorder="1"/>
    <xf numFmtId="17" fontId="0" fillId="9" borderId="3" xfId="0" applyNumberFormat="1" applyFill="1" applyBorder="1"/>
    <xf numFmtId="164" fontId="0" fillId="0" borderId="0" xfId="2" applyFont="1" applyAlignment="1">
      <alignment wrapText="1"/>
    </xf>
    <xf numFmtId="9" fontId="0" fillId="0" borderId="0" xfId="0" applyNumberFormat="1" applyAlignment="1">
      <alignment wrapText="1"/>
    </xf>
    <xf numFmtId="10" fontId="0" fillId="0" borderId="0" xfId="1" applyNumberFormat="1" applyFont="1" applyAlignment="1">
      <alignment wrapText="1"/>
    </xf>
    <xf numFmtId="3" fontId="0" fillId="9" borderId="0" xfId="0" applyNumberFormat="1" applyFill="1" applyAlignment="1">
      <alignment wrapText="1"/>
    </xf>
    <xf numFmtId="0" fontId="0" fillId="9" borderId="0" xfId="0" applyFill="1" applyAlignment="1">
      <alignment wrapText="1"/>
    </xf>
    <xf numFmtId="165" fontId="10" fillId="2" borderId="2" xfId="0" applyNumberFormat="1" applyFont="1" applyFill="1" applyBorder="1" applyProtection="1">
      <protection locked="0"/>
    </xf>
    <xf numFmtId="167" fontId="0" fillId="9" borderId="0" xfId="0" applyNumberFormat="1" applyFill="1"/>
    <xf numFmtId="15" fontId="0" fillId="6" borderId="3" xfId="0" applyNumberFormat="1" applyFill="1" applyBorder="1"/>
    <xf numFmtId="164" fontId="0" fillId="5" borderId="3" xfId="0" applyNumberFormat="1" applyFill="1" applyBorder="1"/>
    <xf numFmtId="0" fontId="0" fillId="11" borderId="3" xfId="0" applyFill="1" applyBorder="1"/>
    <xf numFmtId="9" fontId="0" fillId="5" borderId="3" xfId="2" applyNumberFormat="1" applyFont="1" applyFill="1" applyBorder="1"/>
    <xf numFmtId="10" fontId="0" fillId="5" borderId="3" xfId="0" applyNumberFormat="1" applyFill="1" applyBorder="1"/>
    <xf numFmtId="168" fontId="0" fillId="0" borderId="0" xfId="1" applyNumberFormat="1" applyFont="1"/>
    <xf numFmtId="9" fontId="0" fillId="0" borderId="3" xfId="0" applyNumberFormat="1" applyBorder="1"/>
    <xf numFmtId="15" fontId="0" fillId="0" borderId="3" xfId="0" applyNumberFormat="1" applyBorder="1"/>
    <xf numFmtId="164" fontId="0" fillId="0" borderId="3" xfId="2" applyFont="1" applyFill="1" applyBorder="1"/>
    <xf numFmtId="10" fontId="0" fillId="12" borderId="3" xfId="0" applyNumberFormat="1" applyFill="1" applyBorder="1"/>
    <xf numFmtId="164" fontId="0" fillId="0" borderId="7" xfId="2" applyFont="1" applyBorder="1"/>
    <xf numFmtId="164" fontId="0" fillId="0" borderId="8" xfId="2" applyFont="1" applyBorder="1"/>
    <xf numFmtId="164" fontId="11" fillId="14" borderId="3" xfId="2" applyFont="1" applyFill="1" applyBorder="1" applyAlignment="1">
      <alignment vertical="center" wrapText="1"/>
    </xf>
    <xf numFmtId="10" fontId="11" fillId="14" borderId="3" xfId="1" applyNumberFormat="1" applyFont="1" applyFill="1" applyBorder="1" applyAlignment="1">
      <alignment wrapText="1"/>
    </xf>
    <xf numFmtId="15" fontId="0" fillId="0" borderId="0" xfId="0" applyNumberFormat="1"/>
    <xf numFmtId="10" fontId="0" fillId="0" borderId="0" xfId="1" applyNumberFormat="1" applyFont="1" applyFill="1"/>
    <xf numFmtId="0" fontId="0" fillId="15" borderId="3" xfId="0" applyFill="1" applyBorder="1" applyAlignment="1">
      <alignment horizontal="center" vertical="center"/>
    </xf>
    <xf numFmtId="0" fontId="0" fillId="15" borderId="3" xfId="0" applyFill="1" applyBorder="1" applyAlignment="1">
      <alignment horizontal="center" vertical="center" wrapText="1"/>
    </xf>
    <xf numFmtId="164" fontId="0" fillId="15" borderId="3" xfId="2" applyFont="1" applyFill="1" applyBorder="1" applyAlignment="1">
      <alignment horizontal="center" vertical="center" wrapText="1"/>
    </xf>
    <xf numFmtId="165" fontId="10" fillId="2" borderId="0" xfId="0" applyNumberFormat="1" applyFont="1" applyFill="1" applyProtection="1">
      <protection locked="0"/>
    </xf>
    <xf numFmtId="165" fontId="3" fillId="2" borderId="0" xfId="0" applyNumberFormat="1" applyFont="1" applyFill="1" applyProtection="1">
      <protection locked="0"/>
    </xf>
    <xf numFmtId="169" fontId="2" fillId="2" borderId="1" xfId="0" applyNumberFormat="1" applyFont="1" applyFill="1" applyBorder="1" applyAlignment="1" applyProtection="1">
      <alignment horizontal="left"/>
      <protection locked="0"/>
    </xf>
    <xf numFmtId="0" fontId="0" fillId="0" borderId="12" xfId="0" applyBorder="1"/>
    <xf numFmtId="0" fontId="0" fillId="0" borderId="14" xfId="0" applyBorder="1"/>
    <xf numFmtId="0" fontId="0" fillId="0" borderId="17" xfId="0" applyBorder="1"/>
    <xf numFmtId="0" fontId="0" fillId="0" borderId="3" xfId="0" applyBorder="1" applyAlignment="1">
      <alignment horizontal="center" vertical="center"/>
    </xf>
    <xf numFmtId="0" fontId="0" fillId="0" borderId="13" xfId="0" applyBorder="1" applyAlignment="1">
      <alignment horizontal="center" vertical="center"/>
    </xf>
    <xf numFmtId="0" fontId="0" fillId="0" borderId="15" xfId="0"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10" fontId="0" fillId="0" borderId="13" xfId="0" applyNumberFormat="1" applyBorder="1" applyAlignment="1">
      <alignment horizontal="center" vertical="center"/>
    </xf>
    <xf numFmtId="10" fontId="0" fillId="0" borderId="16" xfId="0" applyNumberFormat="1" applyBorder="1" applyAlignment="1">
      <alignment horizontal="center" vertical="center"/>
    </xf>
    <xf numFmtId="0" fontId="0" fillId="9" borderId="9" xfId="0" applyFill="1" applyBorder="1"/>
    <xf numFmtId="0" fontId="0" fillId="9" borderId="10" xfId="0" applyFill="1" applyBorder="1" applyAlignment="1">
      <alignment horizontal="center" vertical="center"/>
    </xf>
    <xf numFmtId="0" fontId="0" fillId="9" borderId="11" xfId="0" applyFill="1" applyBorder="1" applyAlignment="1">
      <alignment horizontal="center" vertical="center"/>
    </xf>
    <xf numFmtId="10" fontId="0" fillId="0" borderId="3" xfId="1" applyNumberFormat="1" applyFont="1" applyBorder="1" applyAlignment="1">
      <alignment horizontal="center" vertical="center" wrapText="1"/>
    </xf>
    <xf numFmtId="0" fontId="0" fillId="0" borderId="12" xfId="0" applyBorder="1" applyAlignment="1">
      <alignment horizontal="center" vertical="center"/>
    </xf>
    <xf numFmtId="0" fontId="0" fillId="0" borderId="14" xfId="0" applyBorder="1" applyAlignment="1">
      <alignment horizontal="center" vertical="center"/>
    </xf>
    <xf numFmtId="10" fontId="0" fillId="0" borderId="15" xfId="1" applyNumberFormat="1" applyFont="1" applyBorder="1" applyAlignment="1">
      <alignment horizontal="center" vertical="center" wrapText="1"/>
    </xf>
    <xf numFmtId="10" fontId="0" fillId="0" borderId="16" xfId="0" applyNumberFormat="1" applyBorder="1" applyAlignment="1">
      <alignment horizontal="center" vertical="center" wrapText="1"/>
    </xf>
    <xf numFmtId="168" fontId="7" fillId="8" borderId="3" xfId="1" applyNumberFormat="1" applyFont="1" applyFill="1" applyBorder="1"/>
    <xf numFmtId="10" fontId="0" fillId="5" borderId="0" xfId="1" applyNumberFormat="1" applyFont="1" applyFill="1"/>
    <xf numFmtId="168" fontId="0" fillId="5" borderId="0" xfId="1" applyNumberFormat="1" applyFont="1" applyFill="1"/>
    <xf numFmtId="15" fontId="7" fillId="5" borderId="0" xfId="0" applyNumberFormat="1" applyFont="1" applyFill="1"/>
    <xf numFmtId="9" fontId="7" fillId="5" borderId="0" xfId="0" applyNumberFormat="1" applyFont="1" applyFill="1"/>
    <xf numFmtId="10" fontId="7" fillId="5" borderId="0" xfId="0" applyNumberFormat="1" applyFont="1" applyFill="1"/>
    <xf numFmtId="170" fontId="0" fillId="5" borderId="6" xfId="0" applyNumberFormat="1" applyFill="1" applyBorder="1"/>
    <xf numFmtId="170" fontId="0" fillId="5" borderId="3" xfId="0" applyNumberFormat="1" applyFill="1" applyBorder="1"/>
    <xf numFmtId="169" fontId="2" fillId="0" borderId="3" xfId="0" applyNumberFormat="1" applyFont="1" applyBorder="1" applyAlignment="1" applyProtection="1">
      <alignment horizontal="left"/>
      <protection locked="0"/>
    </xf>
    <xf numFmtId="15" fontId="0" fillId="5" borderId="0" xfId="0" applyNumberFormat="1" applyFill="1"/>
    <xf numFmtId="171" fontId="0" fillId="5" borderId="0" xfId="0" applyNumberFormat="1" applyFill="1"/>
    <xf numFmtId="169" fontId="12" fillId="0" borderId="3" xfId="0" applyNumberFormat="1" applyFont="1" applyBorder="1" applyAlignment="1" applyProtection="1">
      <alignment horizontal="left"/>
      <protection locked="0"/>
    </xf>
    <xf numFmtId="170" fontId="0" fillId="5" borderId="0" xfId="2" applyNumberFormat="1" applyFont="1" applyFill="1"/>
    <xf numFmtId="170" fontId="0" fillId="5" borderId="0" xfId="0" applyNumberFormat="1" applyFill="1"/>
    <xf numFmtId="170" fontId="0" fillId="0" borderId="3" xfId="2" applyNumberFormat="1" applyFont="1" applyFill="1" applyBorder="1"/>
    <xf numFmtId="0" fontId="0" fillId="0" borderId="0" xfId="2" applyNumberFormat="1" applyFont="1"/>
    <xf numFmtId="0" fontId="0" fillId="5" borderId="0" xfId="0" applyFill="1" applyAlignment="1">
      <alignment horizontal="center" vertical="center"/>
    </xf>
    <xf numFmtId="0" fontId="0" fillId="5" borderId="3" xfId="0" applyFill="1" applyBorder="1" applyAlignment="1">
      <alignment horizontal="center" vertical="center"/>
    </xf>
    <xf numFmtId="0" fontId="7" fillId="5" borderId="3" xfId="0" applyFont="1" applyFill="1" applyBorder="1" applyAlignment="1">
      <alignment horizontal="center" vertical="center"/>
    </xf>
    <xf numFmtId="15" fontId="0" fillId="5" borderId="3" xfId="0" applyNumberFormat="1" applyFill="1" applyBorder="1" applyAlignment="1">
      <alignment horizontal="center" vertical="center"/>
    </xf>
    <xf numFmtId="0" fontId="7" fillId="6" borderId="3" xfId="0" applyFont="1" applyFill="1" applyBorder="1" applyAlignment="1">
      <alignment horizontal="center" vertical="center"/>
    </xf>
    <xf numFmtId="164" fontId="0" fillId="16" borderId="3" xfId="2" applyFont="1" applyFill="1" applyBorder="1"/>
    <xf numFmtId="10" fontId="0" fillId="5" borderId="3" xfId="1" applyNumberFormat="1" applyFont="1" applyFill="1" applyBorder="1" applyAlignment="1">
      <alignment horizontal="center" vertical="center"/>
    </xf>
    <xf numFmtId="10" fontId="7" fillId="5" borderId="0" xfId="1" applyNumberFormat="1" applyFont="1" applyFill="1" applyBorder="1"/>
    <xf numFmtId="10" fontId="0" fillId="17" borderId="3" xfId="1" applyNumberFormat="1" applyFont="1" applyFill="1" applyBorder="1"/>
    <xf numFmtId="14" fontId="0" fillId="5" borderId="3" xfId="0" applyNumberFormat="1" applyFill="1" applyBorder="1"/>
    <xf numFmtId="4" fontId="0" fillId="0" borderId="3" xfId="0" applyNumberFormat="1" applyBorder="1" applyAlignment="1">
      <alignment horizontal="center" vertical="center"/>
    </xf>
    <xf numFmtId="4" fontId="0" fillId="0" borderId="13" xfId="0" applyNumberFormat="1" applyBorder="1" applyAlignment="1">
      <alignment horizontal="center" vertical="center"/>
    </xf>
    <xf numFmtId="4" fontId="0" fillId="0" borderId="15" xfId="0" applyNumberFormat="1" applyBorder="1" applyAlignment="1">
      <alignment horizontal="center" vertical="center"/>
    </xf>
    <xf numFmtId="4" fontId="0" fillId="0" borderId="16" xfId="0" applyNumberFormat="1" applyBorder="1" applyAlignment="1">
      <alignment horizontal="center" vertical="center"/>
    </xf>
    <xf numFmtId="172" fontId="2" fillId="0" borderId="3" xfId="2" applyNumberFormat="1" applyFont="1" applyFill="1" applyBorder="1" applyAlignment="1" applyProtection="1">
      <alignment horizontal="left"/>
      <protection locked="0"/>
    </xf>
    <xf numFmtId="164" fontId="0" fillId="0" borderId="0" xfId="0" applyNumberFormat="1"/>
    <xf numFmtId="0" fontId="0" fillId="6" borderId="3" xfId="0" applyFill="1" applyBorder="1" applyAlignment="1">
      <alignment horizontal="center" vertical="center"/>
    </xf>
    <xf numFmtId="164" fontId="0" fillId="13" borderId="0" xfId="2" applyFont="1" applyFill="1"/>
    <xf numFmtId="164" fontId="0" fillId="19" borderId="0" xfId="2" applyFont="1" applyFill="1"/>
    <xf numFmtId="164" fontId="0" fillId="18" borderId="0" xfId="2" applyFont="1" applyFill="1"/>
    <xf numFmtId="170" fontId="0" fillId="13" borderId="0" xfId="2" applyNumberFormat="1" applyFont="1" applyFill="1"/>
    <xf numFmtId="164" fontId="0" fillId="0" borderId="0" xfId="2" applyFont="1" applyFill="1"/>
    <xf numFmtId="168" fontId="0" fillId="5" borderId="0" xfId="0" applyNumberFormat="1" applyFill="1"/>
    <xf numFmtId="0" fontId="0" fillId="5" borderId="3" xfId="0" applyFill="1" applyBorder="1" applyAlignment="1">
      <alignment horizontal="center"/>
    </xf>
    <xf numFmtId="173" fontId="0" fillId="6" borderId="3" xfId="0" applyNumberFormat="1" applyFill="1" applyBorder="1" applyAlignment="1">
      <alignment horizontal="center"/>
    </xf>
    <xf numFmtId="168" fontId="0" fillId="6" borderId="3" xfId="0" applyNumberFormat="1" applyFill="1" applyBorder="1" applyAlignment="1">
      <alignment horizontal="center"/>
    </xf>
    <xf numFmtId="0" fontId="0" fillId="5" borderId="0" xfId="0" applyFill="1" applyAlignment="1">
      <alignment horizontal="center"/>
    </xf>
    <xf numFmtId="0" fontId="0" fillId="20" borderId="3" xfId="0" applyFill="1" applyBorder="1" applyAlignment="1">
      <alignment horizontal="center"/>
    </xf>
    <xf numFmtId="14" fontId="0" fillId="5" borderId="3" xfId="0" applyNumberFormat="1" applyFill="1" applyBorder="1" applyAlignment="1">
      <alignment horizontal="center" vertical="center"/>
    </xf>
    <xf numFmtId="170" fontId="0" fillId="0" borderId="0" xfId="0" applyNumberFormat="1"/>
    <xf numFmtId="10" fontId="0" fillId="0" borderId="3" xfId="0" applyNumberFormat="1" applyBorder="1"/>
    <xf numFmtId="164" fontId="0" fillId="0" borderId="3" xfId="2" applyFont="1" applyBorder="1"/>
    <xf numFmtId="168" fontId="0" fillId="0" borderId="3" xfId="1" applyNumberFormat="1" applyFont="1" applyBorder="1"/>
    <xf numFmtId="0" fontId="11" fillId="0" borderId="3" xfId="0" applyFont="1" applyBorder="1"/>
    <xf numFmtId="164" fontId="13" fillId="13" borderId="3" xfId="0" applyNumberFormat="1" applyFont="1" applyFill="1" applyBorder="1"/>
    <xf numFmtId="164" fontId="0" fillId="6" borderId="3" xfId="2" applyFont="1" applyFill="1" applyBorder="1" applyAlignment="1">
      <alignment horizontal="center" vertical="center"/>
    </xf>
    <xf numFmtId="174" fontId="0" fillId="5" borderId="0" xfId="0" applyNumberFormat="1" applyFill="1"/>
    <xf numFmtId="15" fontId="0" fillId="13" borderId="0" xfId="0" applyNumberFormat="1" applyFill="1"/>
    <xf numFmtId="164" fontId="0" fillId="5" borderId="0" xfId="2" applyFont="1" applyFill="1"/>
    <xf numFmtId="164" fontId="0" fillId="5" borderId="3" xfId="2" applyFont="1" applyFill="1" applyBorder="1" applyAlignment="1">
      <alignment horizontal="center" vertical="center"/>
    </xf>
    <xf numFmtId="164" fontId="0" fillId="5" borderId="3" xfId="2" applyFont="1" applyFill="1" applyBorder="1" applyAlignment="1">
      <alignment horizontal="center"/>
    </xf>
    <xf numFmtId="9" fontId="0" fillId="0" borderId="0" xfId="2" applyNumberFormat="1" applyFont="1"/>
    <xf numFmtId="2" fontId="0" fillId="5" borderId="3" xfId="0" applyNumberFormat="1" applyFill="1" applyBorder="1" applyAlignment="1">
      <alignment horizontal="center" vertical="center"/>
    </xf>
    <xf numFmtId="0" fontId="0" fillId="6" borderId="3" xfId="0" applyFill="1" applyBorder="1" applyAlignment="1">
      <alignment horizontal="center" vertical="center" wrapText="1"/>
    </xf>
    <xf numFmtId="2" fontId="0" fillId="5" borderId="3" xfId="1" applyNumberFormat="1" applyFont="1" applyFill="1" applyBorder="1" applyAlignment="1">
      <alignment horizontal="center" vertical="center"/>
    </xf>
    <xf numFmtId="4" fontId="0" fillId="0" borderId="3" xfId="0" applyNumberFormat="1" applyBorder="1"/>
    <xf numFmtId="175" fontId="0" fillId="16" borderId="3" xfId="2" applyNumberFormat="1" applyFont="1" applyFill="1" applyBorder="1"/>
    <xf numFmtId="175" fontId="0" fillId="6" borderId="3" xfId="2" applyNumberFormat="1" applyFont="1" applyFill="1" applyBorder="1"/>
    <xf numFmtId="164" fontId="0" fillId="6" borderId="3" xfId="2" applyFont="1" applyFill="1" applyBorder="1" applyAlignment="1">
      <alignment horizontal="center"/>
    </xf>
    <xf numFmtId="10" fontId="0" fillId="6" borderId="3" xfId="1" applyNumberFormat="1" applyFont="1" applyFill="1" applyBorder="1"/>
    <xf numFmtId="14" fontId="0" fillId="0" borderId="3" xfId="0" applyNumberFormat="1" applyBorder="1"/>
    <xf numFmtId="164" fontId="7" fillId="8" borderId="3" xfId="2" applyFont="1" applyFill="1" applyBorder="1" applyAlignment="1">
      <alignment horizontal="center" vertical="center"/>
    </xf>
    <xf numFmtId="0" fontId="0" fillId="6" borderId="6" xfId="0" applyFill="1" applyBorder="1" applyAlignment="1">
      <alignment horizontal="center" vertical="center"/>
    </xf>
    <xf numFmtId="164" fontId="7" fillId="8" borderId="6" xfId="2" applyFont="1" applyFill="1" applyBorder="1" applyAlignment="1">
      <alignment horizontal="center" vertical="center"/>
    </xf>
    <xf numFmtId="164" fontId="0" fillId="6" borderId="0" xfId="2" applyFont="1" applyFill="1" applyBorder="1" applyAlignment="1">
      <alignment horizontal="center" vertical="center"/>
    </xf>
    <xf numFmtId="175" fontId="0" fillId="5" borderId="0" xfId="0" applyNumberFormat="1" applyFill="1"/>
    <xf numFmtId="164" fontId="0" fillId="5" borderId="3" xfId="1" applyNumberFormat="1" applyFont="1" applyFill="1" applyBorder="1" applyAlignment="1">
      <alignment horizontal="center" vertical="center"/>
    </xf>
    <xf numFmtId="164" fontId="7" fillId="8" borderId="4" xfId="2" applyFont="1" applyFill="1" applyBorder="1" applyAlignment="1">
      <alignment horizontal="center" vertical="center"/>
    </xf>
    <xf numFmtId="0" fontId="0" fillId="0" borderId="0" xfId="0" pivotButton="1"/>
    <xf numFmtId="164" fontId="0" fillId="5" borderId="3" xfId="2" applyFont="1" applyFill="1" applyBorder="1"/>
    <xf numFmtId="0" fontId="0" fillId="6" borderId="3" xfId="0" applyFill="1" applyBorder="1" applyAlignment="1">
      <alignment horizontal="center"/>
    </xf>
    <xf numFmtId="14" fontId="0" fillId="0" borderId="3" xfId="0" applyNumberFormat="1" applyBorder="1" applyAlignment="1">
      <alignment horizontal="center" vertical="center" wrapText="1"/>
    </xf>
    <xf numFmtId="0" fontId="0" fillId="0" borderId="3" xfId="0" applyBorder="1" applyAlignment="1">
      <alignment horizontal="center" vertical="center" wrapText="1"/>
    </xf>
    <xf numFmtId="0" fontId="0" fillId="0" borderId="3" xfId="0" applyBorder="1" applyAlignment="1">
      <alignment horizontal="center"/>
    </xf>
    <xf numFmtId="3" fontId="0" fillId="0" borderId="0" xfId="0" applyNumberFormat="1"/>
    <xf numFmtId="0" fontId="0" fillId="6" borderId="4" xfId="0" applyFill="1" applyBorder="1" applyAlignment="1">
      <alignment horizontal="center" vertical="center"/>
    </xf>
    <xf numFmtId="0" fontId="0" fillId="6" borderId="6" xfId="0" applyFill="1" applyBorder="1" applyAlignment="1">
      <alignment horizontal="center" vertical="center"/>
    </xf>
    <xf numFmtId="164" fontId="7" fillId="8" borderId="4" xfId="2" applyFont="1" applyFill="1" applyBorder="1" applyAlignment="1">
      <alignment horizontal="center"/>
    </xf>
    <xf numFmtId="164" fontId="7" fillId="8" borderId="6" xfId="2" applyFont="1" applyFill="1" applyBorder="1" applyAlignment="1">
      <alignment horizontal="center"/>
    </xf>
    <xf numFmtId="164" fontId="7" fillId="8" borderId="4" xfId="2" applyFont="1" applyFill="1" applyBorder="1" applyAlignment="1">
      <alignment horizontal="center" vertical="center"/>
    </xf>
    <xf numFmtId="164" fontId="7" fillId="8" borderId="6" xfId="2" applyFont="1" applyFill="1" applyBorder="1" applyAlignment="1">
      <alignment horizontal="center" vertical="center"/>
    </xf>
    <xf numFmtId="0" fontId="0" fillId="6" borderId="3" xfId="0" applyFill="1" applyBorder="1" applyAlignment="1">
      <alignment horizontal="center" vertical="center"/>
    </xf>
    <xf numFmtId="164" fontId="7" fillId="8" borderId="3" xfId="2" applyFont="1" applyFill="1" applyBorder="1" applyAlignment="1">
      <alignment horizontal="center"/>
    </xf>
    <xf numFmtId="0" fontId="0" fillId="9" borderId="4" xfId="0" applyFill="1" applyBorder="1" applyAlignment="1">
      <alignment horizontal="center"/>
    </xf>
    <xf numFmtId="0" fontId="0" fillId="9" borderId="5" xfId="0" applyFill="1" applyBorder="1" applyAlignment="1">
      <alignment horizontal="center"/>
    </xf>
    <xf numFmtId="0" fontId="0" fillId="9" borderId="6" xfId="0" applyFill="1" applyBorder="1" applyAlignment="1">
      <alignment horizontal="center"/>
    </xf>
    <xf numFmtId="14" fontId="0" fillId="0" borderId="3" xfId="0" applyNumberFormat="1" applyBorder="1" applyAlignment="1">
      <alignment horizontal="center"/>
    </xf>
    <xf numFmtId="0" fontId="0" fillId="0" borderId="3" xfId="0" applyBorder="1" applyAlignment="1">
      <alignment horizontal="center"/>
    </xf>
    <xf numFmtId="14" fontId="0" fillId="0" borderId="4" xfId="0" applyNumberFormat="1" applyBorder="1" applyAlignment="1">
      <alignment horizontal="center"/>
    </xf>
    <xf numFmtId="14" fontId="0" fillId="0" borderId="5" xfId="0" applyNumberFormat="1" applyBorder="1" applyAlignment="1">
      <alignment horizontal="center"/>
    </xf>
    <xf numFmtId="14" fontId="0" fillId="0" borderId="6" xfId="0" applyNumberFormat="1" applyBorder="1" applyAlignment="1">
      <alignment horizontal="center"/>
    </xf>
    <xf numFmtId="43" fontId="0" fillId="0" borderId="0" xfId="0" applyNumberFormat="1"/>
    <xf numFmtId="14" fontId="0" fillId="0" borderId="0" xfId="0" applyNumberFormat="1" applyBorder="1" applyAlignment="1">
      <alignment horizontal="center"/>
    </xf>
  </cellXfs>
  <cellStyles count="3">
    <cellStyle name="Comma" xfId="2" builtinId="3"/>
    <cellStyle name="Normal" xfId="0" builtinId="0"/>
    <cellStyle name="Percent" xfId="1" builtinId="5"/>
  </cellStyles>
  <dxfs count="250">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ill>
        <patternFill>
          <fgColor rgb="FFFF0000"/>
          <bgColor theme="7" tint="0.39994506668294322"/>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fgColor rgb="FFFF0000"/>
          <bgColor theme="7" tint="0.39994506668294322"/>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fgColor rgb="FFFF0000"/>
          <bgColor theme="7" tint="0.39994506668294322"/>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9" tint="0.59996337778862885"/>
        </patternFill>
      </fill>
    </dxf>
    <dxf>
      <fill>
        <patternFill>
          <bgColor theme="9" tint="0.39994506668294322"/>
        </patternFill>
      </fill>
    </dxf>
    <dxf>
      <fill>
        <patternFill>
          <fgColor rgb="FFFF0000"/>
          <bgColor theme="7" tint="0.39994506668294322"/>
        </patternFill>
      </fill>
    </dxf>
    <dxf>
      <fill>
        <patternFill>
          <bgColor theme="7" tint="0.59996337778862885"/>
        </patternFill>
      </fill>
    </dxf>
    <dxf>
      <fill>
        <patternFill>
          <bgColor theme="7" tint="0.79998168889431442"/>
        </patternFill>
      </fill>
    </dxf>
    <dxf>
      <fill>
        <patternFill>
          <bgColor theme="9" tint="0.79998168889431442"/>
        </patternFill>
      </fill>
    </dxf>
    <dxf>
      <fill>
        <patternFill>
          <bgColor theme="9" tint="0.59996337778862885"/>
        </patternFill>
      </fill>
    </dxf>
    <dxf>
      <font>
        <color rgb="FF006100"/>
      </font>
      <fill>
        <patternFill>
          <bgColor rgb="FFC6EFCE"/>
        </patternFill>
      </fill>
    </dxf>
    <dxf>
      <fill>
        <patternFill>
          <bgColor theme="0" tint="-4.9989318521683403E-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0" tint="-4.9989318521683403E-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font>
        <color rgb="FF006100"/>
      </font>
      <fill>
        <patternFill>
          <bgColor rgb="FFC6EFCE"/>
        </patternFill>
      </fill>
    </dxf>
    <dxf>
      <font>
        <color rgb="FF9C0006"/>
      </font>
      <fill>
        <patternFill>
          <bgColor rgb="FFFFC7CE"/>
        </patternFill>
      </fill>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font>
        <color rgb="FF006100"/>
      </font>
      <fill>
        <patternFill>
          <bgColor rgb="FFC6EFCE"/>
        </patternFill>
      </fill>
    </dxf>
    <dxf>
      <font>
        <color rgb="FF9C0006"/>
      </font>
      <fill>
        <patternFill>
          <bgColor rgb="FFFFC7CE"/>
        </patternFill>
      </fill>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
      <numFmt numFmtId="176" formatCode="[Blue][&gt;9999999]##\,##\,##\,##0.00;[Blue][&gt;99999]##\,##\,##0.00;[Blue]##,##0.00"/>
    </dxf>
    <dxf>
      <numFmt numFmtId="177" formatCode="[Red][&lt;-9999999]\-##\,##\,##\,##0.00;[Red][&lt;-99999]\-##\,##\,##0.00;[Red]##,##0.00"/>
    </dxf>
  </dxfs>
  <tableStyles count="0" defaultTableStyle="TableStyleMedium2" defaultPivotStyle="PivotStyleLight16"/>
  <colors>
    <mruColors>
      <color rgb="FF66FFFF"/>
      <color rgb="FFFFFF66"/>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'Iron ButterflyCondor Analysis'!$BA$8</c:f>
              <c:strCache>
                <c:ptCount val="1"/>
                <c:pt idx="0">
                  <c:v>Payoff</c:v>
                </c:pt>
              </c:strCache>
            </c:strRef>
          </c:tx>
          <c:spPr>
            <a:ln w="28575" cap="rnd">
              <a:solidFill>
                <a:schemeClr val="accent1"/>
              </a:solidFill>
              <a:round/>
            </a:ln>
            <a:effectLst/>
          </c:spPr>
          <c:marker>
            <c:symbol val="none"/>
          </c:marker>
          <c:cat>
            <c:numRef>
              <c:f>'Iron ButterflyCondor Analysis'!$AZ$9:$AZ$54</c:f>
              <c:numCache>
                <c:formatCode>_ * #,##0_ ;_ * \-#,##0_ ;_ * "-"??_ ;_ @_ </c:formatCode>
                <c:ptCount val="46"/>
                <c:pt idx="0">
                  <c:v>15685.714285714286</c:v>
                </c:pt>
                <c:pt idx="1">
                  <c:v>15785.714285714286</c:v>
                </c:pt>
                <c:pt idx="2">
                  <c:v>15885.714285714286</c:v>
                </c:pt>
                <c:pt idx="3">
                  <c:v>15985.714285714286</c:v>
                </c:pt>
                <c:pt idx="4">
                  <c:v>16085.714285714286</c:v>
                </c:pt>
                <c:pt idx="5">
                  <c:v>16185.714285714286</c:v>
                </c:pt>
                <c:pt idx="6">
                  <c:v>16285.714285714286</c:v>
                </c:pt>
                <c:pt idx="7">
                  <c:v>16385.714285714286</c:v>
                </c:pt>
                <c:pt idx="8">
                  <c:v>16485.714285714286</c:v>
                </c:pt>
                <c:pt idx="9">
                  <c:v>16585.714285714286</c:v>
                </c:pt>
                <c:pt idx="10">
                  <c:v>16685.714285714286</c:v>
                </c:pt>
                <c:pt idx="11">
                  <c:v>16785.714285714286</c:v>
                </c:pt>
                <c:pt idx="12">
                  <c:v>16885.714285714286</c:v>
                </c:pt>
                <c:pt idx="13">
                  <c:v>16985.714285714286</c:v>
                </c:pt>
                <c:pt idx="14">
                  <c:v>17085.714285714286</c:v>
                </c:pt>
                <c:pt idx="15">
                  <c:v>17185.714285714286</c:v>
                </c:pt>
                <c:pt idx="16">
                  <c:v>17285.714285714286</c:v>
                </c:pt>
                <c:pt idx="17">
                  <c:v>17385.714285714286</c:v>
                </c:pt>
                <c:pt idx="18">
                  <c:v>17485.714285714286</c:v>
                </c:pt>
                <c:pt idx="19">
                  <c:v>17585.714285714286</c:v>
                </c:pt>
                <c:pt idx="20">
                  <c:v>17685.714285714286</c:v>
                </c:pt>
                <c:pt idx="21">
                  <c:v>17785.714285714286</c:v>
                </c:pt>
                <c:pt idx="22">
                  <c:v>17885.714285714286</c:v>
                </c:pt>
                <c:pt idx="23">
                  <c:v>17985.714285714286</c:v>
                </c:pt>
                <c:pt idx="24">
                  <c:v>18085.714285714286</c:v>
                </c:pt>
                <c:pt idx="25">
                  <c:v>18185.714285714286</c:v>
                </c:pt>
                <c:pt idx="26">
                  <c:v>18285.714285714286</c:v>
                </c:pt>
                <c:pt idx="27">
                  <c:v>18385.714285714286</c:v>
                </c:pt>
                <c:pt idx="28">
                  <c:v>18485.714285714286</c:v>
                </c:pt>
                <c:pt idx="29">
                  <c:v>18585.714285714286</c:v>
                </c:pt>
                <c:pt idx="30">
                  <c:v>18685.714285714286</c:v>
                </c:pt>
                <c:pt idx="31">
                  <c:v>18785.714285714286</c:v>
                </c:pt>
                <c:pt idx="32">
                  <c:v>18885.714285714286</c:v>
                </c:pt>
                <c:pt idx="33">
                  <c:v>18985.714285714286</c:v>
                </c:pt>
                <c:pt idx="34">
                  <c:v>19085.714285714286</c:v>
                </c:pt>
                <c:pt idx="35">
                  <c:v>19185.714285714286</c:v>
                </c:pt>
                <c:pt idx="36">
                  <c:v>19285.714285714286</c:v>
                </c:pt>
                <c:pt idx="37">
                  <c:v>19385.714285714286</c:v>
                </c:pt>
                <c:pt idx="38">
                  <c:v>19485.714285714286</c:v>
                </c:pt>
                <c:pt idx="39">
                  <c:v>19585.714285714286</c:v>
                </c:pt>
                <c:pt idx="40">
                  <c:v>19685.714285714286</c:v>
                </c:pt>
                <c:pt idx="41">
                  <c:v>19785.714285714286</c:v>
                </c:pt>
                <c:pt idx="42">
                  <c:v>19885.714285714286</c:v>
                </c:pt>
                <c:pt idx="43">
                  <c:v>19985.714285714286</c:v>
                </c:pt>
                <c:pt idx="44">
                  <c:v>20085.714285714286</c:v>
                </c:pt>
                <c:pt idx="45">
                  <c:v>20185.714285714286</c:v>
                </c:pt>
              </c:numCache>
            </c:numRef>
          </c:cat>
          <c:val>
            <c:numRef>
              <c:f>'Iron ButterflyCondor Analysis'!$BA$9:$BA$54</c:f>
              <c:numCache>
                <c:formatCode>_ * #,##0.00_ ;_ * \-#,##0.00_ ;_ * "-"??_ ;_ @_ </c:formatCode>
                <c:ptCount val="46"/>
                <c:pt idx="0">
                  <c:v>-172114.28571428498</c:v>
                </c:pt>
                <c:pt idx="1">
                  <c:v>-27114.285714284983</c:v>
                </c:pt>
                <c:pt idx="2">
                  <c:v>53600.000000000357</c:v>
                </c:pt>
                <c:pt idx="3">
                  <c:v>123600.00000000036</c:v>
                </c:pt>
                <c:pt idx="4">
                  <c:v>129314.28571428568</c:v>
                </c:pt>
                <c:pt idx="5">
                  <c:v>124314.28571428568</c:v>
                </c:pt>
                <c:pt idx="6">
                  <c:v>119314.28571428568</c:v>
                </c:pt>
                <c:pt idx="7">
                  <c:v>114314.28571428568</c:v>
                </c:pt>
                <c:pt idx="8">
                  <c:v>109314.28571428568</c:v>
                </c:pt>
                <c:pt idx="9">
                  <c:v>104314.28571428568</c:v>
                </c:pt>
                <c:pt idx="10">
                  <c:v>99314.285714285681</c:v>
                </c:pt>
                <c:pt idx="11">
                  <c:v>94314.285714285681</c:v>
                </c:pt>
                <c:pt idx="12">
                  <c:v>89314.285714285681</c:v>
                </c:pt>
                <c:pt idx="13">
                  <c:v>84314.285714285681</c:v>
                </c:pt>
                <c:pt idx="14">
                  <c:v>79314.285714285681</c:v>
                </c:pt>
                <c:pt idx="15">
                  <c:v>74314.285714285681</c:v>
                </c:pt>
                <c:pt idx="16">
                  <c:v>69314.285714285681</c:v>
                </c:pt>
                <c:pt idx="17">
                  <c:v>64314.285714285688</c:v>
                </c:pt>
                <c:pt idx="18">
                  <c:v>59314.285714285688</c:v>
                </c:pt>
                <c:pt idx="19">
                  <c:v>58600</c:v>
                </c:pt>
                <c:pt idx="20">
                  <c:v>58600</c:v>
                </c:pt>
                <c:pt idx="21">
                  <c:v>58600</c:v>
                </c:pt>
                <c:pt idx="22">
                  <c:v>58600</c:v>
                </c:pt>
                <c:pt idx="23">
                  <c:v>58600</c:v>
                </c:pt>
                <c:pt idx="24">
                  <c:v>62885.714285714312</c:v>
                </c:pt>
                <c:pt idx="25">
                  <c:v>67885.714285714319</c:v>
                </c:pt>
                <c:pt idx="26">
                  <c:v>72885.714285714319</c:v>
                </c:pt>
                <c:pt idx="27">
                  <c:v>77885.714285714319</c:v>
                </c:pt>
                <c:pt idx="28">
                  <c:v>82885.714285714319</c:v>
                </c:pt>
                <c:pt idx="29">
                  <c:v>87885.714285714319</c:v>
                </c:pt>
                <c:pt idx="30">
                  <c:v>92885.714285714319</c:v>
                </c:pt>
                <c:pt idx="31">
                  <c:v>97885.714285714319</c:v>
                </c:pt>
                <c:pt idx="32">
                  <c:v>102885.71428571432</c:v>
                </c:pt>
                <c:pt idx="33">
                  <c:v>107885.71428571432</c:v>
                </c:pt>
                <c:pt idx="34">
                  <c:v>112885.71428571432</c:v>
                </c:pt>
                <c:pt idx="35">
                  <c:v>117885.71428571432</c:v>
                </c:pt>
                <c:pt idx="36">
                  <c:v>-5685.714285715032</c:v>
                </c:pt>
                <c:pt idx="37">
                  <c:v>-150685.71428571502</c:v>
                </c:pt>
                <c:pt idx="38">
                  <c:v>-295685.71428571502</c:v>
                </c:pt>
                <c:pt idx="39">
                  <c:v>-440685.71428571502</c:v>
                </c:pt>
                <c:pt idx="40">
                  <c:v>-585685.71428571502</c:v>
                </c:pt>
                <c:pt idx="41">
                  <c:v>-730685.71428571502</c:v>
                </c:pt>
                <c:pt idx="42">
                  <c:v>-875685.71428571502</c:v>
                </c:pt>
                <c:pt idx="43">
                  <c:v>-1020685.714285715</c:v>
                </c:pt>
                <c:pt idx="44">
                  <c:v>-1165685.714285715</c:v>
                </c:pt>
                <c:pt idx="45">
                  <c:v>-1310685.714285715</c:v>
                </c:pt>
              </c:numCache>
            </c:numRef>
          </c:val>
          <c:smooth val="0"/>
          <c:extLst>
            <c:ext xmlns:c16="http://schemas.microsoft.com/office/drawing/2014/chart" uri="{C3380CC4-5D6E-409C-BE32-E72D297353CC}">
              <c16:uniqueId val="{00000000-03E5-46EC-9BAD-09E3561DC31B}"/>
            </c:ext>
          </c:extLst>
        </c:ser>
        <c:dLbls>
          <c:showLegendKey val="0"/>
          <c:showVal val="0"/>
          <c:showCatName val="0"/>
          <c:showSerName val="0"/>
          <c:showPercent val="0"/>
          <c:showBubbleSize val="0"/>
        </c:dLbls>
        <c:smooth val="0"/>
        <c:axId val="2025625744"/>
        <c:axId val="2025630736"/>
      </c:lineChart>
      <c:catAx>
        <c:axId val="2025625744"/>
        <c:scaling>
          <c:orientation val="minMax"/>
        </c:scaling>
        <c:delete val="0"/>
        <c:axPos val="b"/>
        <c:majorGridlines>
          <c:spPr>
            <a:ln w="9525" cap="flat" cmpd="sng" algn="ctr">
              <a:solidFill>
                <a:schemeClr val="tx1">
                  <a:lumMod val="15000"/>
                  <a:lumOff val="85000"/>
                </a:schemeClr>
              </a:solidFill>
              <a:round/>
            </a:ln>
            <a:effectLst/>
          </c:spPr>
        </c:majorGridlines>
        <c:numFmt formatCode="_ * #,##0_ ;_ * \-#,##0_ ;_ * &quot;-&quot;??_ ;_ @_ " sourceLinked="1"/>
        <c:majorTickMark val="none"/>
        <c:minorTickMark val="none"/>
        <c:tickLblPos val="nextTo"/>
        <c:spPr>
          <a:noFill/>
          <a:ln w="9525" cap="flat" cmpd="sng" algn="ctr">
            <a:solidFill>
              <a:srgbClr val="FF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5630736"/>
        <c:crosses val="autoZero"/>
        <c:auto val="1"/>
        <c:lblAlgn val="ctr"/>
        <c:lblOffset val="0"/>
        <c:noMultiLvlLbl val="0"/>
      </c:catAx>
      <c:valAx>
        <c:axId val="20256307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_ * #,##0.00_ ;_ * \-#,##0.0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25625744"/>
        <c:crossesAt val="1"/>
        <c:crossBetween val="midCat"/>
        <c:majorUnit val="10000"/>
        <c:minorUnit val="500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Sheet1!$AC$8</c:f>
              <c:strCache>
                <c:ptCount val="1"/>
                <c:pt idx="0">
                  <c:v>Payoff</c:v>
                </c:pt>
              </c:strCache>
            </c:strRef>
          </c:tx>
          <c:spPr>
            <a:ln w="28575" cap="rnd">
              <a:solidFill>
                <a:schemeClr val="accent1"/>
              </a:solidFill>
              <a:round/>
            </a:ln>
            <a:effectLst/>
          </c:spPr>
          <c:marker>
            <c:symbol val="none"/>
          </c:marker>
          <c:cat>
            <c:numRef>
              <c:f>Sheet1!$AB$9:$AB$30</c:f>
              <c:numCache>
                <c:formatCode>General</c:formatCode>
                <c:ptCount val="22"/>
                <c:pt idx="0">
                  <c:v>350</c:v>
                </c:pt>
                <c:pt idx="1">
                  <c:v>355</c:v>
                </c:pt>
                <c:pt idx="2">
                  <c:v>360</c:v>
                </c:pt>
                <c:pt idx="3">
                  <c:v>365</c:v>
                </c:pt>
                <c:pt idx="4">
                  <c:v>370</c:v>
                </c:pt>
                <c:pt idx="5">
                  <c:v>375</c:v>
                </c:pt>
                <c:pt idx="6">
                  <c:v>380</c:v>
                </c:pt>
                <c:pt idx="7">
                  <c:v>385</c:v>
                </c:pt>
                <c:pt idx="8">
                  <c:v>390</c:v>
                </c:pt>
                <c:pt idx="9">
                  <c:v>395</c:v>
                </c:pt>
                <c:pt idx="10">
                  <c:v>400</c:v>
                </c:pt>
                <c:pt idx="11">
                  <c:v>405</c:v>
                </c:pt>
                <c:pt idx="12">
                  <c:v>410</c:v>
                </c:pt>
                <c:pt idx="13">
                  <c:v>415</c:v>
                </c:pt>
                <c:pt idx="14">
                  <c:v>420</c:v>
                </c:pt>
                <c:pt idx="15">
                  <c:v>425</c:v>
                </c:pt>
                <c:pt idx="16">
                  <c:v>430</c:v>
                </c:pt>
                <c:pt idx="17">
                  <c:v>435</c:v>
                </c:pt>
                <c:pt idx="18">
                  <c:v>440</c:v>
                </c:pt>
                <c:pt idx="19">
                  <c:v>445</c:v>
                </c:pt>
                <c:pt idx="20">
                  <c:v>450</c:v>
                </c:pt>
                <c:pt idx="21">
                  <c:v>455</c:v>
                </c:pt>
              </c:numCache>
            </c:numRef>
          </c:cat>
          <c:val>
            <c:numRef>
              <c:f>Sheet1!$AC$9:$AC$30</c:f>
              <c:numCache>
                <c:formatCode>_ * #,##0.00_ ;_ * \-#,##0.00_ ;_ * "-"??_ ;_ @_ </c:formatCode>
                <c:ptCount val="22"/>
                <c:pt idx="0">
                  <c:v>-51585.000000000058</c:v>
                </c:pt>
                <c:pt idx="1">
                  <c:v>-51585.000000000058</c:v>
                </c:pt>
                <c:pt idx="2">
                  <c:v>-51585.000000000058</c:v>
                </c:pt>
                <c:pt idx="3">
                  <c:v>-51585.000000000058</c:v>
                </c:pt>
                <c:pt idx="4">
                  <c:v>-51585.000000000051</c:v>
                </c:pt>
                <c:pt idx="5">
                  <c:v>-51585.000000000058</c:v>
                </c:pt>
                <c:pt idx="6">
                  <c:v>-51585.000000000058</c:v>
                </c:pt>
                <c:pt idx="7">
                  <c:v>-51585.000000000058</c:v>
                </c:pt>
                <c:pt idx="8">
                  <c:v>-51585.000000000058</c:v>
                </c:pt>
                <c:pt idx="9">
                  <c:v>-51585.000000000051</c:v>
                </c:pt>
                <c:pt idx="10">
                  <c:v>-51585.000000000051</c:v>
                </c:pt>
                <c:pt idx="11">
                  <c:v>-37335.000000000051</c:v>
                </c:pt>
                <c:pt idx="12">
                  <c:v>-23085.000000000051</c:v>
                </c:pt>
                <c:pt idx="13">
                  <c:v>-8835.0000000000509</c:v>
                </c:pt>
                <c:pt idx="14">
                  <c:v>5414.9999999999491</c:v>
                </c:pt>
                <c:pt idx="15">
                  <c:v>19664.999999999949</c:v>
                </c:pt>
                <c:pt idx="16">
                  <c:v>33914.999999999949</c:v>
                </c:pt>
                <c:pt idx="17">
                  <c:v>48164.999999999949</c:v>
                </c:pt>
                <c:pt idx="18">
                  <c:v>62414.999999999942</c:v>
                </c:pt>
                <c:pt idx="19">
                  <c:v>62414.999999999942</c:v>
                </c:pt>
                <c:pt idx="20">
                  <c:v>62414.999999999942</c:v>
                </c:pt>
                <c:pt idx="21">
                  <c:v>62414.999999999942</c:v>
                </c:pt>
              </c:numCache>
            </c:numRef>
          </c:val>
          <c:smooth val="0"/>
          <c:extLst>
            <c:ext xmlns:c16="http://schemas.microsoft.com/office/drawing/2014/chart" uri="{C3380CC4-5D6E-409C-BE32-E72D297353CC}">
              <c16:uniqueId val="{00000000-28C9-4CDA-9178-26FECD674424}"/>
            </c:ext>
          </c:extLst>
        </c:ser>
        <c:ser>
          <c:idx val="1"/>
          <c:order val="1"/>
          <c:tx>
            <c:strRef>
              <c:f>Sheet1!$AE$8</c:f>
              <c:strCache>
                <c:ptCount val="1"/>
                <c:pt idx="0">
                  <c:v>Fut Gain</c:v>
                </c:pt>
              </c:strCache>
            </c:strRef>
          </c:tx>
          <c:spPr>
            <a:ln w="28575" cap="rnd">
              <a:solidFill>
                <a:schemeClr val="accent2"/>
              </a:solidFill>
              <a:round/>
            </a:ln>
            <a:effectLst/>
          </c:spPr>
          <c:marker>
            <c:symbol val="none"/>
          </c:marker>
          <c:cat>
            <c:numRef>
              <c:f>Sheet1!$AB$9:$AB$30</c:f>
              <c:numCache>
                <c:formatCode>General</c:formatCode>
                <c:ptCount val="22"/>
                <c:pt idx="0">
                  <c:v>350</c:v>
                </c:pt>
                <c:pt idx="1">
                  <c:v>355</c:v>
                </c:pt>
                <c:pt idx="2">
                  <c:v>360</c:v>
                </c:pt>
                <c:pt idx="3">
                  <c:v>365</c:v>
                </c:pt>
                <c:pt idx="4">
                  <c:v>370</c:v>
                </c:pt>
                <c:pt idx="5">
                  <c:v>375</c:v>
                </c:pt>
                <c:pt idx="6">
                  <c:v>380</c:v>
                </c:pt>
                <c:pt idx="7">
                  <c:v>385</c:v>
                </c:pt>
                <c:pt idx="8">
                  <c:v>390</c:v>
                </c:pt>
                <c:pt idx="9">
                  <c:v>395</c:v>
                </c:pt>
                <c:pt idx="10">
                  <c:v>400</c:v>
                </c:pt>
                <c:pt idx="11">
                  <c:v>405</c:v>
                </c:pt>
                <c:pt idx="12">
                  <c:v>410</c:v>
                </c:pt>
                <c:pt idx="13">
                  <c:v>415</c:v>
                </c:pt>
                <c:pt idx="14">
                  <c:v>420</c:v>
                </c:pt>
                <c:pt idx="15">
                  <c:v>425</c:v>
                </c:pt>
                <c:pt idx="16">
                  <c:v>430</c:v>
                </c:pt>
                <c:pt idx="17">
                  <c:v>435</c:v>
                </c:pt>
                <c:pt idx="18">
                  <c:v>440</c:v>
                </c:pt>
                <c:pt idx="19">
                  <c:v>445</c:v>
                </c:pt>
                <c:pt idx="20">
                  <c:v>450</c:v>
                </c:pt>
                <c:pt idx="21">
                  <c:v>455</c:v>
                </c:pt>
              </c:numCache>
            </c:numRef>
          </c:cat>
          <c:val>
            <c:numRef>
              <c:f>Sheet1!$AE$9:$AE$30</c:f>
              <c:numCache>
                <c:formatCode>_ * #,##0.00_ ;_ * \-#,##0.00_ ;_ * "-"??_ ;_ @_ </c:formatCode>
                <c:ptCount val="22"/>
                <c:pt idx="0">
                  <c:v>-180205.50000000006</c:v>
                </c:pt>
                <c:pt idx="1">
                  <c:v>-165955.50000000006</c:v>
                </c:pt>
                <c:pt idx="2">
                  <c:v>-151705.50000000006</c:v>
                </c:pt>
                <c:pt idx="3">
                  <c:v>-137455.50000000006</c:v>
                </c:pt>
                <c:pt idx="4">
                  <c:v>-123205.50000000006</c:v>
                </c:pt>
                <c:pt idx="5">
                  <c:v>-108955.50000000006</c:v>
                </c:pt>
                <c:pt idx="6">
                  <c:v>-94705.500000000058</c:v>
                </c:pt>
                <c:pt idx="7">
                  <c:v>-80455.500000000058</c:v>
                </c:pt>
                <c:pt idx="8">
                  <c:v>-66205.500000000058</c:v>
                </c:pt>
                <c:pt idx="9">
                  <c:v>-51955.500000000051</c:v>
                </c:pt>
                <c:pt idx="10">
                  <c:v>-37705.500000000051</c:v>
                </c:pt>
                <c:pt idx="11">
                  <c:v>-23455.500000000051</c:v>
                </c:pt>
                <c:pt idx="12">
                  <c:v>-9205.5000000000509</c:v>
                </c:pt>
                <c:pt idx="13">
                  <c:v>5044.4999999999482</c:v>
                </c:pt>
                <c:pt idx="14">
                  <c:v>19294.499999999949</c:v>
                </c:pt>
                <c:pt idx="15">
                  <c:v>33544.499999999949</c:v>
                </c:pt>
                <c:pt idx="16">
                  <c:v>47794.499999999949</c:v>
                </c:pt>
                <c:pt idx="17">
                  <c:v>62044.499999999949</c:v>
                </c:pt>
                <c:pt idx="18">
                  <c:v>76294.499999999942</c:v>
                </c:pt>
                <c:pt idx="19">
                  <c:v>90544.499999999942</c:v>
                </c:pt>
                <c:pt idx="20">
                  <c:v>104794.49999999994</c:v>
                </c:pt>
                <c:pt idx="21">
                  <c:v>119044.49999999994</c:v>
                </c:pt>
              </c:numCache>
            </c:numRef>
          </c:val>
          <c:smooth val="0"/>
          <c:extLst>
            <c:ext xmlns:c16="http://schemas.microsoft.com/office/drawing/2014/chart" uri="{C3380CC4-5D6E-409C-BE32-E72D297353CC}">
              <c16:uniqueId val="{00000001-28C9-4CDA-9178-26FECD674424}"/>
            </c:ext>
          </c:extLst>
        </c:ser>
        <c:ser>
          <c:idx val="2"/>
          <c:order val="2"/>
          <c:tx>
            <c:strRef>
              <c:f>Sheet1!$AG$8</c:f>
              <c:strCache>
                <c:ptCount val="1"/>
                <c:pt idx="0">
                  <c:v>Put Hedge</c:v>
                </c:pt>
              </c:strCache>
            </c:strRef>
          </c:tx>
          <c:spPr>
            <a:ln w="28575" cap="rnd">
              <a:solidFill>
                <a:schemeClr val="accent3"/>
              </a:solidFill>
              <a:round/>
            </a:ln>
            <a:effectLst/>
          </c:spPr>
          <c:marker>
            <c:symbol val="none"/>
          </c:marker>
          <c:cat>
            <c:numRef>
              <c:f>Sheet1!$AB$9:$AB$30</c:f>
              <c:numCache>
                <c:formatCode>General</c:formatCode>
                <c:ptCount val="22"/>
                <c:pt idx="0">
                  <c:v>350</c:v>
                </c:pt>
                <c:pt idx="1">
                  <c:v>355</c:v>
                </c:pt>
                <c:pt idx="2">
                  <c:v>360</c:v>
                </c:pt>
                <c:pt idx="3">
                  <c:v>365</c:v>
                </c:pt>
                <c:pt idx="4">
                  <c:v>370</c:v>
                </c:pt>
                <c:pt idx="5">
                  <c:v>375</c:v>
                </c:pt>
                <c:pt idx="6">
                  <c:v>380</c:v>
                </c:pt>
                <c:pt idx="7">
                  <c:v>385</c:v>
                </c:pt>
                <c:pt idx="8">
                  <c:v>390</c:v>
                </c:pt>
                <c:pt idx="9">
                  <c:v>395</c:v>
                </c:pt>
                <c:pt idx="10">
                  <c:v>400</c:v>
                </c:pt>
                <c:pt idx="11">
                  <c:v>405</c:v>
                </c:pt>
                <c:pt idx="12">
                  <c:v>410</c:v>
                </c:pt>
                <c:pt idx="13">
                  <c:v>415</c:v>
                </c:pt>
                <c:pt idx="14">
                  <c:v>420</c:v>
                </c:pt>
                <c:pt idx="15">
                  <c:v>425</c:v>
                </c:pt>
                <c:pt idx="16">
                  <c:v>430</c:v>
                </c:pt>
                <c:pt idx="17">
                  <c:v>435</c:v>
                </c:pt>
                <c:pt idx="18">
                  <c:v>440</c:v>
                </c:pt>
                <c:pt idx="19">
                  <c:v>445</c:v>
                </c:pt>
                <c:pt idx="20">
                  <c:v>450</c:v>
                </c:pt>
                <c:pt idx="21">
                  <c:v>455</c:v>
                </c:pt>
              </c:numCache>
            </c:numRef>
          </c:cat>
          <c:val>
            <c:numRef>
              <c:f>Sheet1!$AG$9:$AG$30</c:f>
              <c:numCache>
                <c:formatCode>_ * #,##0.00_ ;_ * \-#,##0.00_ ;_ * "-"??_ ;_ @_ </c:formatCode>
                <c:ptCount val="22"/>
                <c:pt idx="0">
                  <c:v>115710</c:v>
                </c:pt>
                <c:pt idx="1">
                  <c:v>101460</c:v>
                </c:pt>
                <c:pt idx="2">
                  <c:v>87210</c:v>
                </c:pt>
                <c:pt idx="3">
                  <c:v>72960</c:v>
                </c:pt>
                <c:pt idx="4">
                  <c:v>58710.000000000007</c:v>
                </c:pt>
                <c:pt idx="5">
                  <c:v>44460</c:v>
                </c:pt>
                <c:pt idx="6">
                  <c:v>30210</c:v>
                </c:pt>
                <c:pt idx="7">
                  <c:v>15959.999999999998</c:v>
                </c:pt>
                <c:pt idx="8">
                  <c:v>1709.9999999999991</c:v>
                </c:pt>
                <c:pt idx="9">
                  <c:v>-12540.000000000002</c:v>
                </c:pt>
                <c:pt idx="10">
                  <c:v>-26790</c:v>
                </c:pt>
                <c:pt idx="11">
                  <c:v>-26790</c:v>
                </c:pt>
                <c:pt idx="12">
                  <c:v>-26790</c:v>
                </c:pt>
                <c:pt idx="13">
                  <c:v>-26790</c:v>
                </c:pt>
                <c:pt idx="14">
                  <c:v>-26790</c:v>
                </c:pt>
                <c:pt idx="15">
                  <c:v>-26790</c:v>
                </c:pt>
                <c:pt idx="16">
                  <c:v>-26790</c:v>
                </c:pt>
                <c:pt idx="17">
                  <c:v>-26790</c:v>
                </c:pt>
                <c:pt idx="18">
                  <c:v>-26790</c:v>
                </c:pt>
                <c:pt idx="19">
                  <c:v>-26790</c:v>
                </c:pt>
                <c:pt idx="20">
                  <c:v>-26790</c:v>
                </c:pt>
                <c:pt idx="21">
                  <c:v>-26790</c:v>
                </c:pt>
              </c:numCache>
            </c:numRef>
          </c:val>
          <c:smooth val="0"/>
          <c:extLst>
            <c:ext xmlns:c16="http://schemas.microsoft.com/office/drawing/2014/chart" uri="{C3380CC4-5D6E-409C-BE32-E72D297353CC}">
              <c16:uniqueId val="{00000002-28C9-4CDA-9178-26FECD674424}"/>
            </c:ext>
          </c:extLst>
        </c:ser>
        <c:ser>
          <c:idx val="3"/>
          <c:order val="3"/>
          <c:tx>
            <c:strRef>
              <c:f>Sheet1!$AN$8</c:f>
              <c:strCache>
                <c:ptCount val="1"/>
                <c:pt idx="0">
                  <c:v> Call Rent </c:v>
                </c:pt>
              </c:strCache>
            </c:strRef>
          </c:tx>
          <c:spPr>
            <a:ln w="28575" cap="rnd">
              <a:solidFill>
                <a:schemeClr val="accent4"/>
              </a:solidFill>
              <a:round/>
            </a:ln>
            <a:effectLst/>
          </c:spPr>
          <c:marker>
            <c:symbol val="none"/>
          </c:marker>
          <c:cat>
            <c:numRef>
              <c:f>Sheet1!$AB$9:$AB$30</c:f>
              <c:numCache>
                <c:formatCode>General</c:formatCode>
                <c:ptCount val="22"/>
                <c:pt idx="0">
                  <c:v>350</c:v>
                </c:pt>
                <c:pt idx="1">
                  <c:v>355</c:v>
                </c:pt>
                <c:pt idx="2">
                  <c:v>360</c:v>
                </c:pt>
                <c:pt idx="3">
                  <c:v>365</c:v>
                </c:pt>
                <c:pt idx="4">
                  <c:v>370</c:v>
                </c:pt>
                <c:pt idx="5">
                  <c:v>375</c:v>
                </c:pt>
                <c:pt idx="6">
                  <c:v>380</c:v>
                </c:pt>
                <c:pt idx="7">
                  <c:v>385</c:v>
                </c:pt>
                <c:pt idx="8">
                  <c:v>390</c:v>
                </c:pt>
                <c:pt idx="9">
                  <c:v>395</c:v>
                </c:pt>
                <c:pt idx="10">
                  <c:v>400</c:v>
                </c:pt>
                <c:pt idx="11">
                  <c:v>405</c:v>
                </c:pt>
                <c:pt idx="12">
                  <c:v>410</c:v>
                </c:pt>
                <c:pt idx="13">
                  <c:v>415</c:v>
                </c:pt>
                <c:pt idx="14">
                  <c:v>420</c:v>
                </c:pt>
                <c:pt idx="15">
                  <c:v>425</c:v>
                </c:pt>
                <c:pt idx="16">
                  <c:v>430</c:v>
                </c:pt>
                <c:pt idx="17">
                  <c:v>435</c:v>
                </c:pt>
                <c:pt idx="18">
                  <c:v>440</c:v>
                </c:pt>
                <c:pt idx="19">
                  <c:v>445</c:v>
                </c:pt>
                <c:pt idx="20">
                  <c:v>450</c:v>
                </c:pt>
                <c:pt idx="21">
                  <c:v>455</c:v>
                </c:pt>
              </c:numCache>
            </c:numRef>
          </c:cat>
          <c:val>
            <c:numRef>
              <c:f>Sheet1!$AN$9:$AN$30</c:f>
              <c:numCache>
                <c:formatCode>_ * #,##0.00_ ;_ * \-#,##0.00_ ;_ * "-"??_ ;_ @_ </c:formatCode>
                <c:ptCount val="22"/>
                <c:pt idx="0">
                  <c:v>12910.5</c:v>
                </c:pt>
                <c:pt idx="1">
                  <c:v>12910.5</c:v>
                </c:pt>
                <c:pt idx="2">
                  <c:v>12910.5</c:v>
                </c:pt>
                <c:pt idx="3">
                  <c:v>12910.5</c:v>
                </c:pt>
                <c:pt idx="4">
                  <c:v>12910.5</c:v>
                </c:pt>
                <c:pt idx="5">
                  <c:v>12910.5</c:v>
                </c:pt>
                <c:pt idx="6">
                  <c:v>12910.5</c:v>
                </c:pt>
                <c:pt idx="7">
                  <c:v>12910.5</c:v>
                </c:pt>
                <c:pt idx="8">
                  <c:v>12910.5</c:v>
                </c:pt>
                <c:pt idx="9">
                  <c:v>12910.5</c:v>
                </c:pt>
                <c:pt idx="10">
                  <c:v>12910.5</c:v>
                </c:pt>
                <c:pt idx="11">
                  <c:v>12910.5</c:v>
                </c:pt>
                <c:pt idx="12">
                  <c:v>12910.5</c:v>
                </c:pt>
                <c:pt idx="13">
                  <c:v>12910.5</c:v>
                </c:pt>
                <c:pt idx="14">
                  <c:v>12910.5</c:v>
                </c:pt>
                <c:pt idx="15">
                  <c:v>12910.5</c:v>
                </c:pt>
                <c:pt idx="16">
                  <c:v>12910.5</c:v>
                </c:pt>
                <c:pt idx="17">
                  <c:v>12910.5</c:v>
                </c:pt>
                <c:pt idx="18">
                  <c:v>12910.5</c:v>
                </c:pt>
                <c:pt idx="19">
                  <c:v>-1339.4999999999993</c:v>
                </c:pt>
                <c:pt idx="20">
                  <c:v>-15589.5</c:v>
                </c:pt>
                <c:pt idx="21">
                  <c:v>-29839.499999999996</c:v>
                </c:pt>
              </c:numCache>
            </c:numRef>
          </c:val>
          <c:smooth val="0"/>
          <c:extLst>
            <c:ext xmlns:c16="http://schemas.microsoft.com/office/drawing/2014/chart" uri="{C3380CC4-5D6E-409C-BE32-E72D297353CC}">
              <c16:uniqueId val="{00000003-28C9-4CDA-9178-26FECD674424}"/>
            </c:ext>
          </c:extLst>
        </c:ser>
        <c:dLbls>
          <c:showLegendKey val="0"/>
          <c:showVal val="0"/>
          <c:showCatName val="0"/>
          <c:showSerName val="0"/>
          <c:showPercent val="0"/>
          <c:showBubbleSize val="0"/>
        </c:dLbls>
        <c:smooth val="0"/>
        <c:axId val="471931344"/>
        <c:axId val="471936752"/>
      </c:lineChart>
      <c:catAx>
        <c:axId val="47193134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accent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36752"/>
        <c:crosses val="autoZero"/>
        <c:auto val="1"/>
        <c:lblAlgn val="ctr"/>
        <c:lblOffset val="100"/>
        <c:noMultiLvlLbl val="0"/>
      </c:catAx>
      <c:valAx>
        <c:axId val="471936752"/>
        <c:scaling>
          <c:orientation val="minMax"/>
        </c:scaling>
        <c:delete val="0"/>
        <c:axPos val="l"/>
        <c:majorGridlines>
          <c:spPr>
            <a:ln w="9525" cap="flat" cmpd="sng" algn="ctr">
              <a:solidFill>
                <a:schemeClr val="tx1">
                  <a:lumMod val="15000"/>
                  <a:lumOff val="85000"/>
                </a:schemeClr>
              </a:solidFill>
              <a:round/>
            </a:ln>
            <a:effectLst/>
          </c:spPr>
        </c:majorGridlines>
        <c:numFmt formatCode="_ * #,##0.00_ ;_ * \-#,##0.0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931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18</xdr:col>
      <xdr:colOff>268939</xdr:colOff>
      <xdr:row>2</xdr:row>
      <xdr:rowOff>11204</xdr:rowOff>
    </xdr:from>
    <xdr:to>
      <xdr:col>18</xdr:col>
      <xdr:colOff>941292</xdr:colOff>
      <xdr:row>42</xdr:row>
      <xdr:rowOff>112059</xdr:rowOff>
    </xdr:to>
    <xdr:sp macro="" textlink="">
      <xdr:nvSpPr>
        <xdr:cNvPr id="2" name="Pentagon 1">
          <a:extLst>
            <a:ext uri="{FF2B5EF4-FFF2-40B4-BE49-F238E27FC236}">
              <a16:creationId xmlns:a16="http://schemas.microsoft.com/office/drawing/2014/main" id="{00000000-0008-0000-0900-000002000000}"/>
            </a:ext>
          </a:extLst>
        </xdr:cNvPr>
        <xdr:cNvSpPr/>
      </xdr:nvSpPr>
      <xdr:spPr>
        <a:xfrm>
          <a:off x="14880289" y="582704"/>
          <a:ext cx="672353" cy="772085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t>S</a:t>
          </a:r>
        </a:p>
        <a:p>
          <a:pPr algn="ctr"/>
          <a:r>
            <a:rPr lang="en-US" sz="2400"/>
            <a:t>cena</a:t>
          </a:r>
        </a:p>
        <a:p>
          <a:pPr algn="ctr"/>
          <a:r>
            <a:rPr lang="en-US" sz="2400"/>
            <a:t>r</a:t>
          </a:r>
        </a:p>
        <a:p>
          <a:pPr algn="ctr"/>
          <a:r>
            <a:rPr lang="en-US" sz="2400"/>
            <a:t>i</a:t>
          </a:r>
        </a:p>
        <a:p>
          <a:pPr algn="ctr"/>
          <a:r>
            <a:rPr lang="en-US" sz="2400"/>
            <a:t>o </a:t>
          </a:r>
        </a:p>
        <a:p>
          <a:pPr algn="ctr"/>
          <a:endParaRPr lang="en-US" sz="2400"/>
        </a:p>
        <a:p>
          <a:pPr algn="ctr"/>
          <a:r>
            <a:rPr lang="en-US" sz="2400"/>
            <a:t>Ana</a:t>
          </a:r>
        </a:p>
        <a:p>
          <a:pPr algn="ctr"/>
          <a:r>
            <a:rPr lang="en-US" sz="2400"/>
            <a:t>l</a:t>
          </a:r>
        </a:p>
        <a:p>
          <a:pPr algn="ctr"/>
          <a:r>
            <a:rPr lang="en-US" sz="2400"/>
            <a:t>y</a:t>
          </a:r>
        </a:p>
        <a:p>
          <a:pPr algn="ctr"/>
          <a:r>
            <a:rPr lang="en-US" sz="2400"/>
            <a:t>s</a:t>
          </a:r>
        </a:p>
        <a:p>
          <a:pPr algn="ctr"/>
          <a:r>
            <a:rPr lang="en-US" sz="2400"/>
            <a:t>i</a:t>
          </a:r>
        </a:p>
        <a:p>
          <a:pPr algn="ctr"/>
          <a:r>
            <a:rPr lang="en-US" sz="2400"/>
            <a:t>s</a:t>
          </a:r>
        </a:p>
      </xdr:txBody>
    </xdr:sp>
    <xdr:clientData/>
  </xdr:twoCellAnchor>
  <xdr:twoCellAnchor>
    <xdr:from>
      <xdr:col>38</xdr:col>
      <xdr:colOff>11206</xdr:colOff>
      <xdr:row>5</xdr:row>
      <xdr:rowOff>62754</xdr:rowOff>
    </xdr:from>
    <xdr:to>
      <xdr:col>49</xdr:col>
      <xdr:colOff>616323</xdr:colOff>
      <xdr:row>30</xdr:row>
      <xdr:rowOff>112060</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11</xdr:col>
      <xdr:colOff>33617</xdr:colOff>
      <xdr:row>5</xdr:row>
      <xdr:rowOff>23531</xdr:rowOff>
    </xdr:from>
    <xdr:to>
      <xdr:col>21</xdr:col>
      <xdr:colOff>302557</xdr:colOff>
      <xdr:row>29</xdr:row>
      <xdr:rowOff>56029</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25</xdr:col>
      <xdr:colOff>0</xdr:colOff>
      <xdr:row>1</xdr:row>
      <xdr:rowOff>0</xdr:rowOff>
    </xdr:from>
    <xdr:to>
      <xdr:col>34</xdr:col>
      <xdr:colOff>427886</xdr:colOff>
      <xdr:row>32</xdr:row>
      <xdr:rowOff>113536</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6735425" y="190500"/>
          <a:ext cx="5914286" cy="6114286"/>
        </a:xfrm>
        <a:prstGeom prst="rect">
          <a:avLst/>
        </a:prstGeom>
      </xdr:spPr>
    </xdr:pic>
    <xdr:clientData/>
  </xdr:twoCellAnchor>
  <xdr:twoCellAnchor editAs="oneCell">
    <xdr:from>
      <xdr:col>36</xdr:col>
      <xdr:colOff>0</xdr:colOff>
      <xdr:row>1</xdr:row>
      <xdr:rowOff>0</xdr:rowOff>
    </xdr:from>
    <xdr:to>
      <xdr:col>49</xdr:col>
      <xdr:colOff>513295</xdr:colOff>
      <xdr:row>64</xdr:row>
      <xdr:rowOff>93726</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stretch>
          <a:fillRect/>
        </a:stretch>
      </xdr:blipFill>
      <xdr:spPr>
        <a:xfrm>
          <a:off x="23669625" y="190500"/>
          <a:ext cx="8438095" cy="12190476"/>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osh Bag" refreshedDate="44750.74958541667" createdVersion="6" refreshedVersion="6" minRefreshableVersion="3" recordCount="415" xr:uid="{00000000-000A-0000-FFFF-FFFF00000000}">
  <cacheSource type="worksheet">
    <worksheetSource ref="F7:R10476" sheet="Iron Butterfly Condor -&gt;&gt;"/>
  </cacheSource>
  <cacheFields count="13">
    <cacheField name="Scrip" numFmtId="0">
      <sharedItems containsBlank="1" count="14">
        <s v="NIFTY"/>
        <s v="TATAPOWER"/>
        <s v="SRF"/>
        <s v="TATAMOTORS"/>
        <s v="IEX"/>
        <s v="BANKNIFTY"/>
        <s v="TCS"/>
        <s v="LT"/>
        <s v="MINDTREE"/>
        <s v="BALRAMCHIN"/>
        <s v="TATASTEEL"/>
        <s v="JSWSTEEL"/>
        <s v="HINDUNILVR"/>
        <m/>
      </sharedItems>
    </cacheField>
    <cacheField name="Strike" numFmtId="0">
      <sharedItems containsBlank="1" containsMixedTypes="1" containsNumber="1" minValue="160" maxValue="40000"/>
    </cacheField>
    <cacheField name="Expiry" numFmtId="0">
      <sharedItems containsNonDate="0" containsDate="1" containsString="0" containsBlank="1" minDate="2022-02-24T00:00:00" maxDate="2022-08-26T00:00:00"/>
    </cacheField>
    <cacheField name="Contracts" numFmtId="0">
      <sharedItems containsString="0" containsBlank="1" containsNumber="1" containsInteger="1" minValue="25" maxValue="20250"/>
    </cacheField>
    <cacheField name="Entry Price" numFmtId="0">
      <sharedItems containsString="0" containsBlank="1" containsNumber="1" minValue="1" maxValue="38638.15"/>
    </cacheField>
    <cacheField name="Exit Price" numFmtId="0">
      <sharedItems containsString="0" containsBlank="1" containsNumber="1" minValue="0" maxValue="37166.199999999997"/>
    </cacheField>
    <cacheField name="Monthly Gain" numFmtId="0">
      <sharedItems containsString="0" containsBlank="1" containsNumber="1" minValue="-26982.499999999982" maxValue="65981.250000000044"/>
    </cacheField>
    <cacheField name="Overall Gain" numFmtId="0">
      <sharedItems containsString="0" containsBlank="1" containsNumber="1" minValue="-312375.00000000006" maxValue="527175.00000000012"/>
    </cacheField>
    <cacheField name="Exit Price %" numFmtId="0">
      <sharedItems containsString="0" containsBlank="1" containsNumber="1" minValue="0" maxValue="11.222222222222221"/>
    </cacheField>
    <cacheField name="SL " numFmtId="0">
      <sharedItems containsString="0" containsBlank="1" containsNumber="1" minValue="1.125" maxValue="28978.612500000003"/>
    </cacheField>
    <cacheField name="Capital" numFmtId="0">
      <sharedItems containsString="0" containsBlank="1" containsNumber="1" minValue="0" maxValue="3327750"/>
    </cacheField>
    <cacheField name="MTM" numFmtId="0">
      <sharedItems containsBlank="1" containsMixedTypes="1" containsNumber="1" minValue="0" maxValue="34762.5"/>
    </cacheField>
    <cacheField name="Future Exposre" numFmtId="0">
      <sharedItems containsString="0" containsBlank="1" containsNumber="1" minValue="-1680075" maxValue="332775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15">
  <r>
    <x v="0"/>
    <n v="15300"/>
    <d v="2022-02-24T00:00:00"/>
    <n v="500"/>
    <n v="36.409999999999997"/>
    <n v="0.55000000000000004"/>
    <n v="0"/>
    <n v="17930"/>
    <n v="1.5105740181268885E-2"/>
    <n v="45.512499999999996"/>
    <n v="18205"/>
    <e v="#N/A"/>
    <n v="0"/>
  </r>
  <r>
    <x v="1"/>
    <m/>
    <d v="2022-02-24T00:00:00"/>
    <n v="6750"/>
    <n v="255.6"/>
    <n v="248.29999999999998"/>
    <n v="0"/>
    <n v="-49275.00000000008"/>
    <n v="0.97143974960876367"/>
    <n v="191.7"/>
    <n v="1725300"/>
    <e v="#N/A"/>
    <n v="1725300"/>
  </r>
  <r>
    <x v="1"/>
    <m/>
    <d v="2022-03-31T00:00:00"/>
    <n v="6750"/>
    <n v="248.9"/>
    <n v="251.35"/>
    <n v="0"/>
    <n v="-16537.499999999924"/>
    <n v="1.0098433105664926"/>
    <n v="311.125"/>
    <n v="1680075"/>
    <e v="#N/A"/>
    <n v="-1680075"/>
  </r>
  <r>
    <x v="1"/>
    <n v="300"/>
    <d v="2022-02-24T00:00:00"/>
    <n v="13500"/>
    <n v="3.02"/>
    <n v="0.8"/>
    <n v="0"/>
    <n v="29969.999999999996"/>
    <n v="0.26490066225165565"/>
    <n v="3.7749999999999999"/>
    <n v="40770"/>
    <e v="#N/A"/>
    <n v="0"/>
  </r>
  <r>
    <x v="1"/>
    <n v="215"/>
    <d v="2022-02-24T00:00:00"/>
    <n v="13500"/>
    <n v="2.33"/>
    <n v="2.8"/>
    <n v="0"/>
    <n v="-6344.9999999999964"/>
    <n v="1.2017167381974247"/>
    <n v="2.9125000000000001"/>
    <n v="31455"/>
    <e v="#N/A"/>
    <n v="0"/>
  </r>
  <r>
    <x v="1"/>
    <n v="220"/>
    <d v="2022-02-24T00:00:00"/>
    <n v="6750"/>
    <n v="2.25"/>
    <n v="3.65"/>
    <n v="0"/>
    <n v="-9450"/>
    <n v="1.6222222222222222"/>
    <n v="2.8125"/>
    <n v="15187.5"/>
    <e v="#N/A"/>
    <n v="0"/>
  </r>
  <r>
    <x v="2"/>
    <n v="2800"/>
    <d v="2022-02-24T00:00:00"/>
    <n v="750"/>
    <n v="13.75"/>
    <n v="14.55"/>
    <n v="0"/>
    <n v="-600.00000000000057"/>
    <n v="1.0581818181818183"/>
    <n v="17.1875"/>
    <n v="10312.5"/>
    <e v="#N/A"/>
    <n v="0"/>
  </r>
  <r>
    <x v="2"/>
    <n v="2200"/>
    <d v="2022-02-24T00:00:00"/>
    <n v="750"/>
    <n v="12.55"/>
    <n v="12.7"/>
    <n v="0"/>
    <n v="-112.49999999999893"/>
    <n v="1.0119521912350598"/>
    <n v="15.6875"/>
    <n v="9412.5"/>
    <e v="#N/A"/>
    <n v="0"/>
  </r>
  <r>
    <x v="3"/>
    <n v="570"/>
    <d v="2022-02-24T00:00:00"/>
    <n v="2850"/>
    <n v="3.7"/>
    <n v="1.8"/>
    <n v="0"/>
    <n v="5415"/>
    <n v="0.48648648648648646"/>
    <n v="4.625"/>
    <n v="10545"/>
    <e v="#N/A"/>
    <n v="0"/>
  </r>
  <r>
    <x v="3"/>
    <n v="450"/>
    <d v="2022-02-24T00:00:00"/>
    <n v="2850"/>
    <n v="2.65"/>
    <n v="2.5"/>
    <n v="0"/>
    <n v="427.49999999999977"/>
    <n v="0.94339622641509435"/>
    <n v="3.3125"/>
    <n v="7552.5"/>
    <e v="#N/A"/>
    <n v="0"/>
  </r>
  <r>
    <x v="1"/>
    <n v="220"/>
    <d v="2022-02-24T00:00:00"/>
    <n v="6750"/>
    <n v="4.0999999999999996"/>
    <n v="3.9"/>
    <n v="0"/>
    <n v="1349.9999999999982"/>
    <n v="0.95121951219512202"/>
    <n v="5.125"/>
    <n v="27674.999999999996"/>
    <e v="#N/A"/>
    <n v="0"/>
  </r>
  <r>
    <x v="1"/>
    <n v="270"/>
    <d v="2022-02-24T00:00:00"/>
    <n v="6750"/>
    <n v="2.25"/>
    <n v="2.25"/>
    <n v="0"/>
    <n v="0"/>
    <n v="1"/>
    <n v="2.8125"/>
    <n v="15187.5"/>
    <e v="#N/A"/>
    <n v="0"/>
  </r>
  <r>
    <x v="2"/>
    <n v="2200"/>
    <d v="2022-02-24T00:00:00"/>
    <n v="750"/>
    <n v="15"/>
    <n v="5"/>
    <n v="0"/>
    <n v="7500"/>
    <n v="0.33333333333333331"/>
    <n v="18.75"/>
    <n v="11250"/>
    <e v="#N/A"/>
    <n v="0"/>
  </r>
  <r>
    <x v="1"/>
    <m/>
    <d v="2022-02-24T00:00:00"/>
    <n v="6750"/>
    <n v="236.4"/>
    <n v="236.7"/>
    <n v="0"/>
    <n v="2024.9999999998849"/>
    <n v="1.001269035532995"/>
    <n v="177.3"/>
    <n v="1595700"/>
    <e v="#N/A"/>
    <n v="1595700"/>
  </r>
  <r>
    <x v="3"/>
    <n v="570"/>
    <d v="2022-02-24T00:00:00"/>
    <n v="2850"/>
    <n v="1.7"/>
    <n v="1.1499999999999999"/>
    <n v="0"/>
    <n v="1567.5000000000002"/>
    <n v="0.67647058823529405"/>
    <n v="2.125"/>
    <n v="4845"/>
    <e v="#N/A"/>
    <n v="0"/>
  </r>
  <r>
    <x v="3"/>
    <n v="450"/>
    <d v="2022-02-24T00:00:00"/>
    <n v="2850"/>
    <n v="1.35"/>
    <n v="3.75"/>
    <n v="0"/>
    <n v="-6840"/>
    <n v="2.7777777777777777"/>
    <n v="1.6875"/>
    <n v="3847.5000000000005"/>
    <e v="#N/A"/>
    <n v="0"/>
  </r>
  <r>
    <x v="1"/>
    <m/>
    <d v="2022-02-24T00:00:00"/>
    <n v="6750"/>
    <n v="242.2"/>
    <n v="234.2"/>
    <n v="0"/>
    <n v="-54000"/>
    <n v="0.96696944673823282"/>
    <n v="181.64999999999998"/>
    <n v="1634850"/>
    <e v="#N/A"/>
    <n v="1634850"/>
  </r>
  <r>
    <x v="1"/>
    <n v="260"/>
    <d v="2022-02-24T00:00:00"/>
    <n v="20250"/>
    <n v="2.4"/>
    <n v="0.05"/>
    <n v="0"/>
    <n v="47587.5"/>
    <n v="2.0833333333333336E-2"/>
    <n v="3"/>
    <n v="48600"/>
    <e v="#N/A"/>
    <n v="0"/>
  </r>
  <r>
    <x v="0"/>
    <m/>
    <d v="2022-03-31T00:00:00"/>
    <n v="50"/>
    <n v="17102"/>
    <n v="17442.650000000001"/>
    <n v="0"/>
    <n v="17032.500000000073"/>
    <n v="1.0199187229563795"/>
    <n v="12826.5"/>
    <n v="855100"/>
    <e v="#N/A"/>
    <n v="855100"/>
  </r>
  <r>
    <x v="0"/>
    <n v="14500"/>
    <d v="2022-03-31T00:00:00"/>
    <n v="200"/>
    <n v="36.92"/>
    <n v="127.75"/>
    <n v="0"/>
    <n v="-18166"/>
    <n v="3.4601841820151678"/>
    <n v="46.150000000000006"/>
    <n v="7384"/>
    <e v="#N/A"/>
    <n v="0"/>
  </r>
  <r>
    <x v="0"/>
    <n v="15000"/>
    <d v="2022-03-31T00:00:00"/>
    <n v="200"/>
    <n v="59.27"/>
    <n v="212.1"/>
    <n v="0"/>
    <n v="-30565.999999999996"/>
    <n v="3.5785388898262189"/>
    <n v="74.087500000000006"/>
    <n v="11854"/>
    <e v="#N/A"/>
    <n v="0"/>
  </r>
  <r>
    <x v="3"/>
    <n v="400"/>
    <d v="2022-03-31T00:00:00"/>
    <n v="2850"/>
    <n v="6"/>
    <n v="3.75"/>
    <n v="0"/>
    <n v="6412.5"/>
    <n v="0.625"/>
    <n v="7.5"/>
    <n v="17100"/>
    <e v="#N/A"/>
    <n v="0"/>
  </r>
  <r>
    <x v="0"/>
    <m/>
    <d v="2022-03-31T00:00:00"/>
    <n v="50"/>
    <n v="17340"/>
    <n v="17320"/>
    <n v="0"/>
    <n v="-1000"/>
    <n v="0.99884659746251436"/>
    <n v="13005"/>
    <n v="867000"/>
    <e v="#N/A"/>
    <n v="867000"/>
  </r>
  <r>
    <x v="0"/>
    <m/>
    <d v="2022-03-31T00:00:00"/>
    <n v="50"/>
    <n v="17405"/>
    <n v="17320"/>
    <n v="0"/>
    <n v="-4250"/>
    <n v="0.99511634587762132"/>
    <n v="13053.75"/>
    <n v="870250"/>
    <e v="#N/A"/>
    <n v="870250"/>
  </r>
  <r>
    <x v="3"/>
    <n v="450"/>
    <d v="2022-03-31T00:00:00"/>
    <n v="2850"/>
    <n v="7.1"/>
    <n v="62.45"/>
    <n v="0"/>
    <n v="-157747.5"/>
    <n v="8.795774647887324"/>
    <n v="8.875"/>
    <n v="20235"/>
    <e v="#N/A"/>
    <n v="0"/>
  </r>
  <r>
    <x v="1"/>
    <m/>
    <d v="2022-03-31T00:00:00"/>
    <n v="6750"/>
    <n v="234.5"/>
    <n v="226.5"/>
    <n v="0"/>
    <n v="-54000"/>
    <n v="0.9658848614072495"/>
    <n v="175.875"/>
    <n v="1582875"/>
    <e v="#N/A"/>
    <n v="1582875"/>
  </r>
  <r>
    <x v="0"/>
    <m/>
    <d v="2022-03-31T00:00:00"/>
    <n v="50"/>
    <n v="17441"/>
    <n v="17442.650000000001"/>
    <n v="0"/>
    <n v="82.50000000007276"/>
    <n v="1.0000946046671637"/>
    <n v="13080.75"/>
    <n v="872050"/>
    <e v="#N/A"/>
    <n v="872050"/>
  </r>
  <r>
    <x v="4"/>
    <n v="250"/>
    <d v="2022-03-31T00:00:00"/>
    <n v="3750"/>
    <n v="2.5"/>
    <n v="1.5"/>
    <n v="0"/>
    <n v="3750"/>
    <n v="0.6"/>
    <n v="3.125"/>
    <n v="9375"/>
    <e v="#N/A"/>
    <n v="0"/>
  </r>
  <r>
    <x v="4"/>
    <n v="190"/>
    <d v="2022-03-31T00:00:00"/>
    <n v="3750"/>
    <n v="3.85"/>
    <n v="3.1"/>
    <n v="0"/>
    <n v="2812.5"/>
    <n v="0.80519480519480524"/>
    <n v="4.8125"/>
    <n v="14437.5"/>
    <e v="#N/A"/>
    <n v="0"/>
  </r>
  <r>
    <x v="4"/>
    <n v="190"/>
    <d v="2022-03-31T00:00:00"/>
    <n v="3750"/>
    <n v="3.5"/>
    <n v="4.0999999999999996"/>
    <n v="0"/>
    <n v="-2249.9999999999986"/>
    <n v="1.1714285714285713"/>
    <n v="4.375"/>
    <n v="13125"/>
    <e v="#N/A"/>
    <n v="0"/>
  </r>
  <r>
    <x v="1"/>
    <n v="250"/>
    <d v="2022-03-31T00:00:00"/>
    <n v="6750"/>
    <n v="2.8"/>
    <n v="2"/>
    <n v="0"/>
    <n v="5399.9999999999991"/>
    <n v="0.7142857142857143"/>
    <n v="3.5"/>
    <n v="18900"/>
    <e v="#N/A"/>
    <n v="0"/>
  </r>
  <r>
    <x v="5"/>
    <n v="32000"/>
    <d v="2022-03-31T00:00:00"/>
    <n v="25"/>
    <n v="163.5"/>
    <n v="3.3"/>
    <n v="0"/>
    <n v="4004.9999999999995"/>
    <n v="2.0183486238532108E-2"/>
    <n v="204.375"/>
    <n v="4087.5"/>
    <e v="#N/A"/>
    <n v="0"/>
  </r>
  <r>
    <x v="5"/>
    <n v="33000"/>
    <d v="2022-03-31T00:00:00"/>
    <n v="25"/>
    <n v="235"/>
    <n v="1650.6"/>
    <n v="0"/>
    <n v="-35390"/>
    <n v="7.0238297872340425"/>
    <n v="293.75"/>
    <n v="5875"/>
    <e v="#N/A"/>
    <n v="0"/>
  </r>
  <r>
    <x v="0"/>
    <n v="14000"/>
    <d v="2022-03-31T00:00:00"/>
    <n v="150"/>
    <n v="27.92"/>
    <n v="1.7"/>
    <n v="0"/>
    <n v="3933.0000000000005"/>
    <n v="6.0888252148997131E-2"/>
    <n v="34.900000000000006"/>
    <n v="4188"/>
    <e v="#N/A"/>
    <n v="0"/>
  </r>
  <r>
    <x v="0"/>
    <n v="18500"/>
    <d v="2022-03-31T00:00:00"/>
    <n v="150"/>
    <n v="69.55"/>
    <n v="10.1"/>
    <n v="0"/>
    <n v="8917.5"/>
    <n v="0.14521926671459381"/>
    <n v="86.9375"/>
    <n v="10432.5"/>
    <e v="#N/A"/>
    <n v="0"/>
  </r>
  <r>
    <x v="5"/>
    <n v="34000"/>
    <d v="2022-03-31T00:00:00"/>
    <n v="50"/>
    <n v="254"/>
    <n v="6.3"/>
    <n v="0"/>
    <n v="12385"/>
    <n v="2.4803149606299212E-2"/>
    <n v="317.5"/>
    <n v="12700"/>
    <e v="#N/A"/>
    <n v="0"/>
  </r>
  <r>
    <x v="0"/>
    <m/>
    <d v="2022-03-31T00:00:00"/>
    <n v="50"/>
    <n v="16595"/>
    <n v="17442.650000000001"/>
    <n v="0"/>
    <n v="42382.500000000073"/>
    <n v="1.0510786381440194"/>
    <n v="12446.25"/>
    <n v="829750"/>
    <e v="#N/A"/>
    <n v="829750"/>
  </r>
  <r>
    <x v="0"/>
    <n v="17800"/>
    <d v="2022-03-31T00:00:00"/>
    <n v="100"/>
    <n v="110.5"/>
    <n v="34.299999999999997"/>
    <n v="0"/>
    <n v="7620"/>
    <n v="0.31040723981900448"/>
    <n v="138.125"/>
    <n v="11050"/>
    <e v="#N/A"/>
    <n v="0"/>
  </r>
  <r>
    <x v="0"/>
    <n v="17700"/>
    <d v="2022-03-31T00:00:00"/>
    <n v="100"/>
    <n v="128.94999999999999"/>
    <n v="42"/>
    <n v="0"/>
    <n v="8694.9999999999982"/>
    <n v="0.32570763861962004"/>
    <n v="161.1875"/>
    <n v="12894.999999999998"/>
    <e v="#N/A"/>
    <n v="0"/>
  </r>
  <r>
    <x v="0"/>
    <n v="17650"/>
    <d v="2022-03-31T00:00:00"/>
    <n v="50"/>
    <n v="136.4"/>
    <n v="46.95"/>
    <n v="0"/>
    <n v="4472.5"/>
    <n v="0.34420821114369504"/>
    <n v="170.5"/>
    <n v="6820"/>
    <e v="#N/A"/>
    <n v="0"/>
  </r>
  <r>
    <x v="1"/>
    <n v="235"/>
    <d v="2022-03-31T00:00:00"/>
    <n v="13500"/>
    <n v="2.75"/>
    <n v="4.8"/>
    <n v="0"/>
    <n v="-27674.999999999996"/>
    <n v="1.7454545454545454"/>
    <n v="3.4375"/>
    <n v="37125"/>
    <e v="#N/A"/>
    <n v="0"/>
  </r>
  <r>
    <x v="1"/>
    <m/>
    <d v="2022-03-31T00:00:00"/>
    <n v="6750"/>
    <n v="203.8"/>
    <n v="226.5"/>
    <n v="0"/>
    <n v="153224.99999999991"/>
    <n v="1.1113837095191363"/>
    <n v="152.85000000000002"/>
    <n v="1375650"/>
    <e v="#N/A"/>
    <n v="1375650"/>
  </r>
  <r>
    <x v="1"/>
    <n v="235"/>
    <d v="2022-03-31T00:00:00"/>
    <n v="6750"/>
    <n v="2.75"/>
    <n v="4.5999999999999996"/>
    <n v="0"/>
    <n v="-12487.499999999998"/>
    <n v="1.6727272727272726"/>
    <n v="3.4375"/>
    <n v="18562.5"/>
    <e v="#N/A"/>
    <n v="0"/>
  </r>
  <r>
    <x v="1"/>
    <m/>
    <d v="2022-03-31T00:00:00"/>
    <n v="6750"/>
    <n v="220.4"/>
    <n v="220.5"/>
    <n v="0"/>
    <n v="674.99999999996157"/>
    <n v="1.0004537205081669"/>
    <n v="165.3"/>
    <n v="1487700"/>
    <e v="#N/A"/>
    <n v="1487700"/>
  </r>
  <r>
    <x v="1"/>
    <n v="250"/>
    <d v="2022-03-31T00:00:00"/>
    <n v="6750"/>
    <n v="2.15"/>
    <n v="2.1"/>
    <n v="0"/>
    <n v="337.49999999999881"/>
    <n v="0.9767441860465117"/>
    <n v="2.6875"/>
    <n v="14512.5"/>
    <e v="#N/A"/>
    <n v="0"/>
  </r>
  <r>
    <x v="3"/>
    <n v="550"/>
    <d v="2022-03-31T00:00:00"/>
    <n v="2850"/>
    <n v="2.75"/>
    <n v="1.3"/>
    <n v="0"/>
    <n v="4132.5"/>
    <n v="0.47272727272727272"/>
    <n v="3.4375"/>
    <n v="7837.5"/>
    <e v="#N/A"/>
    <n v="0"/>
  </r>
  <r>
    <x v="1"/>
    <m/>
    <d v="2022-03-31T00:00:00"/>
    <n v="6750"/>
    <n v="218.05"/>
    <n v="219.3"/>
    <n v="0"/>
    <n v="8437.5"/>
    <n v="1.0057326301307039"/>
    <n v="163.53750000000002"/>
    <n v="1471837.5"/>
    <e v="#N/A"/>
    <n v="1471837.5"/>
  </r>
  <r>
    <x v="1"/>
    <n v="200"/>
    <d v="2022-03-31T00:00:00"/>
    <n v="6750"/>
    <n v="3.65"/>
    <n v="2.85"/>
    <n v="0"/>
    <n v="5399.9999999999991"/>
    <n v="0.78082191780821919"/>
    <n v="4.5625"/>
    <n v="24637.5"/>
    <e v="#N/A"/>
    <n v="0"/>
  </r>
  <r>
    <x v="1"/>
    <m/>
    <d v="2022-03-31T00:00:00"/>
    <n v="13500"/>
    <n v="226"/>
    <n v="227"/>
    <n v="0"/>
    <n v="13500"/>
    <n v="1.0044247787610618"/>
    <n v="169.5"/>
    <n v="3051000"/>
    <e v="#N/A"/>
    <n v="3051000"/>
  </r>
  <r>
    <x v="1"/>
    <n v="250"/>
    <d v="2022-03-31T00:00:00"/>
    <n v="6750"/>
    <n v="3.2"/>
    <n v="2.1"/>
    <n v="0"/>
    <n v="7425.0000000000009"/>
    <n v="0.65625"/>
    <n v="4"/>
    <n v="21600"/>
    <e v="#N/A"/>
    <n v="0"/>
  </r>
  <r>
    <x v="1"/>
    <m/>
    <d v="2022-03-31T00:00:00"/>
    <n v="6750"/>
    <n v="225.7"/>
    <n v="227"/>
    <n v="0"/>
    <n v="8775.0000000000764"/>
    <n v="1.0057598582188747"/>
    <n v="169.27499999999998"/>
    <n v="1523475"/>
    <e v="#N/A"/>
    <n v="1523475"/>
  </r>
  <r>
    <x v="1"/>
    <n v="235"/>
    <d v="2022-03-31T00:00:00"/>
    <n v="6750"/>
    <n v="2.75"/>
    <n v="6.9"/>
    <n v="0"/>
    <n v="-28012.500000000004"/>
    <n v="2.5090909090909093"/>
    <n v="3.4375"/>
    <n v="18562.5"/>
    <e v="#N/A"/>
    <n v="0"/>
  </r>
  <r>
    <x v="5"/>
    <m/>
    <d v="2022-03-31T00:00:00"/>
    <n v="25"/>
    <n v="35149"/>
    <n v="35700"/>
    <n v="0"/>
    <n v="13775"/>
    <n v="1.0156761216535322"/>
    <n v="26361.75"/>
    <n v="878725"/>
    <e v="#N/A"/>
    <n v="878725"/>
  </r>
  <r>
    <x v="5"/>
    <n v="38500"/>
    <d v="2022-03-31T00:00:00"/>
    <n v="25"/>
    <n v="243.75"/>
    <n v="2.5"/>
    <n v="0"/>
    <n v="6031.25"/>
    <n v="1.0256410256410256E-2"/>
    <n v="304.6875"/>
    <n v="6093.75"/>
    <e v="#N/A"/>
    <n v="0"/>
  </r>
  <r>
    <x v="1"/>
    <m/>
    <d v="2022-03-31T00:00:00"/>
    <n v="6750"/>
    <n v="226"/>
    <n v="226.5"/>
    <n v="0"/>
    <n v="3375"/>
    <n v="1.002212389380531"/>
    <n v="169.5"/>
    <n v="1525500"/>
    <e v="#N/A"/>
    <n v="1525500"/>
  </r>
  <r>
    <x v="1"/>
    <m/>
    <d v="2022-03-31T00:00:00"/>
    <n v="6750"/>
    <n v="227"/>
    <n v="228.6"/>
    <n v="0"/>
    <n v="10799.999999999962"/>
    <n v="1.0070484581497796"/>
    <n v="170.25"/>
    <n v="1532250"/>
    <e v="#N/A"/>
    <n v="1532250"/>
  </r>
  <r>
    <x v="1"/>
    <m/>
    <d v="2022-03-31T00:00:00"/>
    <n v="6750"/>
    <n v="230.3"/>
    <n v="239"/>
    <n v="0"/>
    <n v="58724.99999999992"/>
    <n v="1.0377768128528007"/>
    <n v="172.72500000000002"/>
    <n v="1554525"/>
    <e v="#N/A"/>
    <n v="1554525"/>
  </r>
  <r>
    <x v="3"/>
    <m/>
    <d v="2022-03-31T00:00:00"/>
    <n v="2850"/>
    <n v="439.6"/>
    <n v="408.53"/>
    <n v="0"/>
    <n v="-88549.500000000146"/>
    <n v="0.92932211101000894"/>
    <n v="329.70000000000005"/>
    <n v="1252860"/>
    <e v="#N/A"/>
    <n v="1252860"/>
  </r>
  <r>
    <x v="0"/>
    <n v="17700"/>
    <d v="2022-03-31T00:00:00"/>
    <n v="50"/>
    <n v="100.3"/>
    <n v="0.45"/>
    <n v="0"/>
    <n v="4992.5"/>
    <n v="4.4865403788634101E-3"/>
    <n v="125.375"/>
    <n v="5015"/>
    <e v="#N/A"/>
    <n v="0"/>
  </r>
  <r>
    <x v="5"/>
    <n v="38000"/>
    <d v="2022-03-31T00:00:00"/>
    <n v="25"/>
    <n v="229.95"/>
    <n v="4.2"/>
    <n v="0"/>
    <n v="5643.75"/>
    <n v="1.8264840182648404E-2"/>
    <n v="287.4375"/>
    <n v="5748.75"/>
    <e v="#N/A"/>
    <n v="0"/>
  </r>
  <r>
    <x v="4"/>
    <m/>
    <d v="2022-03-31T00:00:00"/>
    <n v="3750"/>
    <n v="212"/>
    <n v="212.4"/>
    <n v="0"/>
    <n v="1500.0000000000214"/>
    <n v="1.0018867924528303"/>
    <n v="159"/>
    <n v="795000"/>
    <e v="#N/A"/>
    <n v="795000"/>
  </r>
  <r>
    <x v="4"/>
    <m/>
    <d v="2022-03-31T00:00:00"/>
    <n v="3750"/>
    <n v="214.5"/>
    <n v="220.8"/>
    <n v="0"/>
    <n v="23625.000000000044"/>
    <n v="1.0293706293706295"/>
    <n v="160.875"/>
    <n v="804375"/>
    <e v="#N/A"/>
    <n v="804375"/>
  </r>
  <r>
    <x v="4"/>
    <n v="240"/>
    <d v="2022-03-31T00:00:00"/>
    <n v="7500"/>
    <n v="2.4"/>
    <n v="0.05"/>
    <n v="0"/>
    <n v="17625"/>
    <n v="2.0833333333333336E-2"/>
    <n v="3"/>
    <n v="18000"/>
    <e v="#N/A"/>
    <n v="0"/>
  </r>
  <r>
    <x v="4"/>
    <n v="200"/>
    <d v="2022-03-31T00:00:00"/>
    <n v="3750"/>
    <n v="5.15"/>
    <n v="5.55"/>
    <n v="0"/>
    <n v="-1499.999999999998"/>
    <n v="1.0776699029126213"/>
    <n v="6.4375"/>
    <n v="19312.5"/>
    <e v="#N/A"/>
    <n v="0"/>
  </r>
  <r>
    <x v="3"/>
    <n v="500"/>
    <d v="2022-03-31T00:00:00"/>
    <n v="8550"/>
    <n v="3.73"/>
    <n v="0.05"/>
    <n v="0"/>
    <n v="31464"/>
    <n v="1.3404825737265416E-2"/>
    <n v="4.6624999999999996"/>
    <n v="31891.5"/>
    <e v="#N/A"/>
    <n v="0"/>
  </r>
  <r>
    <x v="3"/>
    <n v="480"/>
    <d v="2022-03-31T00:00:00"/>
    <n v="2850"/>
    <n v="5.7"/>
    <n v="0.05"/>
    <n v="0"/>
    <n v="16102.500000000002"/>
    <n v="8.771929824561403E-3"/>
    <n v="7.125"/>
    <n v="16245"/>
    <e v="#N/A"/>
    <n v="0"/>
  </r>
  <r>
    <x v="0"/>
    <n v="17500"/>
    <d v="2022-03-31T00:00:00"/>
    <n v="200"/>
    <n v="62.88"/>
    <n v="3.1"/>
    <n v="0"/>
    <n v="11956"/>
    <n v="4.9300254452926205E-2"/>
    <n v="78.600000000000009"/>
    <n v="12576"/>
    <e v="#N/A"/>
    <n v="0"/>
  </r>
  <r>
    <x v="0"/>
    <n v="17400"/>
    <d v="2022-03-31T00:00:00"/>
    <n v="100"/>
    <n v="77.099999999999994"/>
    <n v="48.4"/>
    <n v="0"/>
    <n v="2869.9999999999995"/>
    <n v="0.62775616083009078"/>
    <n v="96.375"/>
    <n v="7709.9999999999991"/>
    <e v="#N/A"/>
    <n v="0"/>
  </r>
  <r>
    <x v="0"/>
    <n v="17300"/>
    <d v="2022-03-31T00:00:00"/>
    <n v="200"/>
    <n v="93.05"/>
    <n v="160"/>
    <n v="0"/>
    <n v="-13390"/>
    <n v="1.7195056421278883"/>
    <n v="116.3125"/>
    <n v="18610"/>
    <e v="#N/A"/>
    <n v="0"/>
  </r>
  <r>
    <x v="0"/>
    <m/>
    <d v="2022-03-31T00:00:00"/>
    <n v="50"/>
    <n v="15818"/>
    <n v="17442.650000000001"/>
    <n v="0"/>
    <n v="81232.500000000073"/>
    <n v="1.102708939183209"/>
    <n v="11863.5"/>
    <n v="790900"/>
    <e v="#N/A"/>
    <n v="790900"/>
  </r>
  <r>
    <x v="0"/>
    <n v="17000"/>
    <d v="2022-03-31T00:00:00"/>
    <n v="100"/>
    <n v="84.94"/>
    <n v="467"/>
    <n v="0"/>
    <n v="-38206"/>
    <n v="5.4979985872380501"/>
    <n v="106.175"/>
    <n v="8494"/>
    <e v="#N/A"/>
    <n v="0"/>
  </r>
  <r>
    <x v="5"/>
    <n v="36500"/>
    <d v="2022-03-31T00:00:00"/>
    <n v="25"/>
    <n v="235.5"/>
    <n v="2.75"/>
    <n v="0"/>
    <n v="5818.75"/>
    <n v="1.167728237791932E-2"/>
    <n v="294.375"/>
    <n v="5887.5"/>
    <e v="#N/A"/>
    <n v="0"/>
  </r>
  <r>
    <x v="5"/>
    <n v="36000"/>
    <d v="2022-03-31T00:00:00"/>
    <n v="25"/>
    <n v="277.3"/>
    <n v="375"/>
    <n v="0"/>
    <n v="-2442.4999999999995"/>
    <n v="1.3523260007212405"/>
    <n v="346.625"/>
    <n v="6932.5"/>
    <e v="#N/A"/>
    <n v="0"/>
  </r>
  <r>
    <x v="5"/>
    <m/>
    <d v="2022-03-31T00:00:00"/>
    <n v="25"/>
    <n v="32771.550000000003"/>
    <n v="35700"/>
    <n v="0"/>
    <n v="73211.249999999927"/>
    <n v="1.0893595206818107"/>
    <n v="24578.662500000002"/>
    <n v="819288.75000000012"/>
    <e v="#N/A"/>
    <n v="819288.75000000012"/>
  </r>
  <r>
    <x v="5"/>
    <n v="32000"/>
    <d v="2022-03-31T00:00:00"/>
    <n v="25"/>
    <n v="163.5"/>
    <n v="1175.75"/>
    <n v="0"/>
    <n v="-25306.25"/>
    <n v="7.1911314984709476"/>
    <n v="204.375"/>
    <n v="4087.5"/>
    <e v="#N/A"/>
    <n v="0"/>
  </r>
  <r>
    <x v="5"/>
    <n v="31000"/>
    <d v="2022-03-31T00:00:00"/>
    <n v="50"/>
    <n v="833.1"/>
    <n v="108.75"/>
    <n v="0"/>
    <n v="36217.5"/>
    <n v="0.13053655023406555"/>
    <n v="1041.375"/>
    <n v="41655"/>
    <e v="#N/A"/>
    <n v="0"/>
  </r>
  <r>
    <x v="6"/>
    <n v="4000"/>
    <d v="2022-03-31T00:00:00"/>
    <n v="150"/>
    <n v="13"/>
    <n v="0.05"/>
    <n v="0"/>
    <n v="1942.5"/>
    <n v="3.8461538461538464E-3"/>
    <n v="16.25"/>
    <n v="1950"/>
    <e v="#N/A"/>
    <n v="0"/>
  </r>
  <r>
    <x v="6"/>
    <m/>
    <d v="2022-03-31T00:00:00"/>
    <n v="150"/>
    <n v="3650.2"/>
    <n v="3681.95"/>
    <n v="0"/>
    <n v="4762.5"/>
    <n v="1.0086981535258341"/>
    <n v="2737.6499999999996"/>
    <n v="547530"/>
    <e v="#N/A"/>
    <n v="547530"/>
  </r>
  <r>
    <x v="3"/>
    <n v="480"/>
    <d v="2022-03-31T00:00:00"/>
    <n v="2850"/>
    <n v="3.1"/>
    <n v="0.05"/>
    <n v="0"/>
    <n v="8692.5"/>
    <n v="1.6129032258064516E-2"/>
    <n v="3.875"/>
    <n v="8835"/>
    <e v="#N/A"/>
    <n v="0"/>
  </r>
  <r>
    <x v="3"/>
    <m/>
    <d v="2022-03-31T00:00:00"/>
    <n v="2850"/>
    <n v="406.3"/>
    <n v="408.53"/>
    <n v="0"/>
    <n v="6355.49999999989"/>
    <n v="1.0054885552547377"/>
    <n v="304.72500000000002"/>
    <n v="1157955"/>
    <e v="#N/A"/>
    <n v="1157955"/>
  </r>
  <r>
    <x v="3"/>
    <m/>
    <d v="2022-03-31T00:00:00"/>
    <n v="2850"/>
    <n v="408.1"/>
    <n v="430.4"/>
    <n v="0"/>
    <n v="63554.999999999869"/>
    <n v="1.0546434697378093"/>
    <n v="306.07500000000005"/>
    <n v="1163085"/>
    <e v="#N/A"/>
    <n v="1163085"/>
  </r>
  <r>
    <x v="4"/>
    <m/>
    <d v="2022-03-31T00:00:00"/>
    <n v="3750"/>
    <n v="221.5"/>
    <n v="227"/>
    <n v="0"/>
    <n v="20625"/>
    <n v="1.0248306997742664"/>
    <n v="166.125"/>
    <n v="830625"/>
    <e v="#N/A"/>
    <n v="830625"/>
  </r>
  <r>
    <x v="5"/>
    <m/>
    <d v="2022-03-31T00:00:00"/>
    <n v="25"/>
    <n v="35050"/>
    <n v="35700"/>
    <n v="0"/>
    <n v="16250"/>
    <n v="1.0185449358059915"/>
    <n v="26287.5"/>
    <n v="876250"/>
    <e v="#N/A"/>
    <n v="876250"/>
  </r>
  <r>
    <x v="0"/>
    <m/>
    <d v="2022-03-31T00:00:00"/>
    <n v="50"/>
    <n v="16674"/>
    <n v="17442.650000000001"/>
    <n v="0"/>
    <n v="38432.500000000073"/>
    <n v="1.0460987165647115"/>
    <n v="12505.5"/>
    <n v="833700"/>
    <e v="#N/A"/>
    <n v="833700"/>
  </r>
  <r>
    <x v="5"/>
    <m/>
    <d v="2022-03-31T00:00:00"/>
    <n v="25"/>
    <n v="35675"/>
    <n v="35730"/>
    <n v="0"/>
    <n v="1375"/>
    <n v="1.0015416958654519"/>
    <n v="26756.25"/>
    <n v="891875"/>
    <e v="#N/A"/>
    <n v="891875"/>
  </r>
  <r>
    <x v="5"/>
    <m/>
    <d v="2022-03-31T00:00:00"/>
    <n v="25"/>
    <n v="35650"/>
    <n v="35654.9"/>
    <n v="0"/>
    <n v="122.50000000003638"/>
    <n v="1.0001374474053297"/>
    <n v="26737.5"/>
    <n v="891250"/>
    <e v="#N/A"/>
    <n v="891250"/>
  </r>
  <r>
    <x v="5"/>
    <m/>
    <d v="2022-03-31T00:00:00"/>
    <n v="25"/>
    <n v="35620"/>
    <n v="36400"/>
    <n v="0"/>
    <n v="19500"/>
    <n v="1.0218978102189782"/>
    <n v="26715"/>
    <n v="890500"/>
    <e v="#N/A"/>
    <n v="890500"/>
  </r>
  <r>
    <x v="0"/>
    <m/>
    <d v="2022-04-28T00:00:00"/>
    <n v="50"/>
    <n v="17366.3"/>
    <n v="17140"/>
    <n v="0"/>
    <n v="-11314.999999999964"/>
    <n v="0.98696901470088627"/>
    <n v="13024.724999999999"/>
    <n v="868315"/>
    <e v="#N/A"/>
    <n v="868315"/>
  </r>
  <r>
    <x v="0"/>
    <n v="17000"/>
    <d v="2022-03-31T00:00:00"/>
    <n v="50"/>
    <n v="84.94"/>
    <n v="460.45"/>
    <n v="0"/>
    <n v="-18775.5"/>
    <n v="5.4208853308217568"/>
    <n v="106.175"/>
    <n v="4247"/>
    <e v="#N/A"/>
    <n v="0"/>
  </r>
  <r>
    <x v="0"/>
    <n v="17000"/>
    <d v="2022-03-31T00:00:00"/>
    <n v="50"/>
    <n v="84.94"/>
    <n v="398"/>
    <n v="0"/>
    <n v="-15653"/>
    <n v="4.6856604662114432"/>
    <n v="106.175"/>
    <n v="4247"/>
    <e v="#N/A"/>
    <n v="0"/>
  </r>
  <r>
    <x v="0"/>
    <n v="17500"/>
    <d v="2022-03-31T00:00:00"/>
    <n v="50"/>
    <n v="176.15"/>
    <n v="3.1"/>
    <n v="0"/>
    <n v="8652.5"/>
    <n v="1.7598637524836785E-2"/>
    <n v="220.1875"/>
    <n v="8807.5"/>
    <e v="#N/A"/>
    <n v="0"/>
  </r>
  <r>
    <x v="0"/>
    <n v="17500"/>
    <d v="2022-03-31T00:00:00"/>
    <n v="50"/>
    <n v="147"/>
    <n v="3.1"/>
    <n v="0"/>
    <n v="7195"/>
    <n v="2.1088435374149662E-2"/>
    <n v="183.75"/>
    <n v="7350"/>
    <e v="#N/A"/>
    <n v="0"/>
  </r>
  <r>
    <x v="0"/>
    <n v="17650"/>
    <d v="2022-03-31T00:00:00"/>
    <n v="50"/>
    <n v="100.8"/>
    <n v="0.5"/>
    <n v="0"/>
    <n v="5015"/>
    <n v="4.96031746031746E-3"/>
    <n v="126"/>
    <n v="5040"/>
    <e v="#N/A"/>
    <n v="0"/>
  </r>
  <r>
    <x v="0"/>
    <n v="17700"/>
    <d v="2022-03-31T00:00:00"/>
    <n v="50"/>
    <n v="102"/>
    <n v="0.45"/>
    <n v="0"/>
    <n v="5077.5"/>
    <n v="4.4117647058823529E-3"/>
    <n v="127.5"/>
    <n v="5100"/>
    <e v="#N/A"/>
    <n v="0"/>
  </r>
  <r>
    <x v="3"/>
    <m/>
    <d v="2022-04-28T00:00:00"/>
    <n v="2850"/>
    <n v="438.5"/>
    <n v="459.5"/>
    <n v="0"/>
    <n v="59850"/>
    <n v="1.047890535917902"/>
    <n v="328.875"/>
    <n v="1249725"/>
    <e v="#N/A"/>
    <n v="1249725"/>
  </r>
  <r>
    <x v="0"/>
    <m/>
    <d v="2022-03-31T00:00:00"/>
    <n v="100"/>
    <n v="17440"/>
    <n v="17488.25"/>
    <n v="0"/>
    <n v="4825"/>
    <n v="1.0027666284403669"/>
    <n v="13080"/>
    <n v="1744000"/>
    <e v="#N/A"/>
    <n v="1744000"/>
  </r>
  <r>
    <x v="1"/>
    <m/>
    <d v="2022-03-31T00:00:00"/>
    <n v="6750"/>
    <n v="230.3"/>
    <n v="237"/>
    <n v="0"/>
    <n v="45224.99999999992"/>
    <n v="1.0290924880590533"/>
    <n v="172.72500000000002"/>
    <n v="1554525"/>
    <e v="#N/A"/>
    <n v="1554525"/>
  </r>
  <r>
    <x v="1"/>
    <m/>
    <d v="2022-04-28T00:00:00"/>
    <n v="6750"/>
    <n v="237.6"/>
    <n v="246.6"/>
    <n v="0"/>
    <n v="60750"/>
    <n v="1.0378787878787878"/>
    <n v="178.2"/>
    <n v="1603800"/>
    <e v="#N/A"/>
    <n v="1603800"/>
  </r>
  <r>
    <x v="1"/>
    <n v="250"/>
    <d v="2022-03-31T00:00:00"/>
    <n v="6750"/>
    <n v="2.0499999999999998"/>
    <n v="2.1"/>
    <n v="0"/>
    <n v="-337.50000000000182"/>
    <n v="1.024390243902439"/>
    <n v="2.5625"/>
    <n v="13837.499999999998"/>
    <e v="#N/A"/>
    <n v="0"/>
  </r>
  <r>
    <x v="7"/>
    <m/>
    <d v="2022-04-28T00:00:00"/>
    <n v="575"/>
    <n v="1780.35"/>
    <n v="1678"/>
    <n v="0"/>
    <n v="0"/>
    <n v="0.94251130395708715"/>
    <n v="1335.2624999999998"/>
    <n v="0"/>
    <e v="#N/A"/>
    <n v="1023701.25"/>
  </r>
  <r>
    <x v="7"/>
    <n v="2000"/>
    <d v="2022-04-28T00:00:00"/>
    <n v="575"/>
    <n v="9.75"/>
    <n v="0.95"/>
    <n v="0"/>
    <n v="5060"/>
    <n v="9.7435897435897437E-2"/>
    <n v="12.1875"/>
    <n v="5606.25"/>
    <e v="#N/A"/>
    <n v="0"/>
  </r>
  <r>
    <x v="1"/>
    <m/>
    <d v="2022-04-28T00:00:00"/>
    <n v="6750"/>
    <n v="240.45"/>
    <n v="246.6"/>
    <n v="0"/>
    <n v="41512.500000000036"/>
    <n v="1.0255770430442919"/>
    <n v="180.33749999999998"/>
    <n v="1623037.5"/>
    <e v="#N/A"/>
    <n v="1623037.5"/>
  </r>
  <r>
    <x v="4"/>
    <m/>
    <d v="2022-04-28T00:00:00"/>
    <n v="3750"/>
    <n v="228.3"/>
    <n v="246.5"/>
    <n v="0"/>
    <n v="68249.999999999956"/>
    <n v="1.0797196671046867"/>
    <n v="171.22500000000002"/>
    <n v="856125"/>
    <e v="#N/A"/>
    <n v="856125"/>
  </r>
  <r>
    <x v="3"/>
    <m/>
    <d v="2022-04-28T00:00:00"/>
    <n v="2850"/>
    <n v="431"/>
    <n v="459.5"/>
    <n v="0"/>
    <n v="81225"/>
    <n v="1.0661252900232019"/>
    <n v="323.25"/>
    <n v="1228350"/>
    <e v="#N/A"/>
    <n v="1228350"/>
  </r>
  <r>
    <x v="6"/>
    <m/>
    <d v="2022-04-28T00:00:00"/>
    <n v="150"/>
    <n v="3692.8"/>
    <n v="3557.3"/>
    <n v="0"/>
    <n v="0"/>
    <n v="0.96330697573656843"/>
    <n v="2769.6000000000004"/>
    <n v="0"/>
    <e v="#N/A"/>
    <n v="553920"/>
  </r>
  <r>
    <x v="5"/>
    <m/>
    <d v="2022-04-28T00:00:00"/>
    <n v="25"/>
    <n v="35839.550000000003"/>
    <n v="37166.199999999997"/>
    <n v="0"/>
    <n v="33166.249999999854"/>
    <n v="1.0370163687881124"/>
    <n v="26879.662500000002"/>
    <n v="895988.75000000012"/>
    <e v="#N/A"/>
    <n v="895988.75000000012"/>
  </r>
  <r>
    <x v="5"/>
    <m/>
    <d v="2022-04-28T00:00:00"/>
    <n v="25"/>
    <n v="35747.9"/>
    <n v="37166.199999999997"/>
    <n v="0"/>
    <n v="35457.499999999891"/>
    <n v="1.0396750578355651"/>
    <n v="26810.925000000003"/>
    <n v="893697.5"/>
    <e v="#N/A"/>
    <n v="893697.5"/>
  </r>
  <r>
    <x v="1"/>
    <n v="250"/>
    <d v="2022-03-31T00:00:00"/>
    <n v="6750"/>
    <n v="1"/>
    <n v="0.1"/>
    <n v="0"/>
    <n v="6075"/>
    <n v="0.1"/>
    <n v="1.25"/>
    <n v="6750"/>
    <e v="#N/A"/>
    <n v="0"/>
  </r>
  <r>
    <x v="0"/>
    <m/>
    <d v="2022-03-31T00:00:00"/>
    <n v="150"/>
    <n v="17440"/>
    <n v="17469.669999999998"/>
    <n v="0"/>
    <n v="0"/>
    <n v="1.0017012614678897"/>
    <n v="13080"/>
    <n v="0"/>
    <e v="#N/A"/>
    <n v="2616000"/>
  </r>
  <r>
    <x v="5"/>
    <m/>
    <d v="2022-04-28T00:00:00"/>
    <n v="25"/>
    <n v="36505"/>
    <n v="37166.199999999997"/>
    <n v="0"/>
    <n v="16529.999999999927"/>
    <n v="1.0181125873168058"/>
    <n v="27378.75"/>
    <n v="912625"/>
    <e v="#N/A"/>
    <n v="912625"/>
  </r>
  <r>
    <x v="0"/>
    <m/>
    <d v="2022-04-28T00:00:00"/>
    <n v="50"/>
    <n v="17524.8"/>
    <n v="16914.349999999999"/>
    <n v="0"/>
    <n v="-30522.500000000036"/>
    <n v="0.96516650689308858"/>
    <n v="13143.599999999999"/>
    <n v="876240"/>
    <e v="#N/A"/>
    <n v="876240"/>
  </r>
  <r>
    <x v="0"/>
    <m/>
    <d v="2022-04-28T00:00:00"/>
    <n v="100"/>
    <n v="17545.3"/>
    <n v="17140"/>
    <n v="0"/>
    <n v="-40529.999999999927"/>
    <n v="0.97689979652670522"/>
    <n v="13158.974999999999"/>
    <n v="1754530"/>
    <e v="#N/A"/>
    <n v="1754530"/>
  </r>
  <r>
    <x v="1"/>
    <n v="280"/>
    <d v="2022-04-28T00:00:00"/>
    <n v="6750"/>
    <n v="2.0499999999999998"/>
    <n v="12.25"/>
    <n v="0"/>
    <n v="-68850"/>
    <n v="5.9756097560975618"/>
    <n v="2.5625"/>
    <n v="13837.499999999998"/>
    <e v="#N/A"/>
    <n v="0"/>
  </r>
  <r>
    <x v="1"/>
    <n v="280"/>
    <d v="2022-04-28T00:00:00"/>
    <n v="6750"/>
    <n v="2.15"/>
    <n v="12.25"/>
    <n v="0"/>
    <n v="-68175"/>
    <n v="5.6976744186046515"/>
    <n v="2.6875"/>
    <n v="14512.5"/>
    <e v="#N/A"/>
    <n v="0"/>
  </r>
  <r>
    <x v="3"/>
    <n v="500"/>
    <d v="2022-04-28T00:00:00"/>
    <n v="2850"/>
    <n v="4"/>
    <n v="1.05"/>
    <n v="0"/>
    <n v="8407.5"/>
    <n v="0.26250000000000001"/>
    <n v="5"/>
    <n v="11400"/>
    <e v="#N/A"/>
    <n v="0"/>
  </r>
  <r>
    <x v="1"/>
    <n v="270"/>
    <d v="2022-04-28T00:00:00"/>
    <n v="6750"/>
    <n v="3.2"/>
    <n v="28.85"/>
    <n v="0"/>
    <n v="-173137.5"/>
    <n v="9.015625"/>
    <n v="4"/>
    <n v="21600"/>
    <e v="#N/A"/>
    <n v="0"/>
  </r>
  <r>
    <x v="4"/>
    <n v="260"/>
    <d v="2022-04-28T00:00:00"/>
    <n v="3750"/>
    <n v="2.8"/>
    <n v="0.95"/>
    <n v="0"/>
    <n v="6937.4999999999991"/>
    <n v="0.3392857142857143"/>
    <n v="3.5"/>
    <n v="10500"/>
    <e v="#N/A"/>
    <n v="0"/>
  </r>
  <r>
    <x v="3"/>
    <n v="510"/>
    <d v="2022-04-28T00:00:00"/>
    <n v="2850"/>
    <n v="3"/>
    <n v="0.85"/>
    <n v="0"/>
    <n v="6127.5"/>
    <n v="0.28333333333333333"/>
    <n v="3.75"/>
    <n v="8550"/>
    <e v="#N/A"/>
    <n v="0"/>
  </r>
  <r>
    <x v="4"/>
    <n v="270"/>
    <d v="2022-04-28T00:00:00"/>
    <n v="3750"/>
    <n v="1.7"/>
    <n v="0.75"/>
    <n v="0"/>
    <n v="3562.5"/>
    <n v="0.44117647058823528"/>
    <n v="2.125"/>
    <n v="6375"/>
    <e v="#N/A"/>
    <n v="0"/>
  </r>
  <r>
    <x v="6"/>
    <n v="4040"/>
    <d v="2022-04-28T00:00:00"/>
    <n v="150"/>
    <n v="20.7"/>
    <n v="1.8"/>
    <n v="0"/>
    <n v="2835"/>
    <n v="8.6956521739130446E-2"/>
    <n v="25.875"/>
    <n v="3105"/>
    <n v="0"/>
    <n v="0"/>
  </r>
  <r>
    <x v="0"/>
    <n v="18500"/>
    <d v="2022-04-28T00:00:00"/>
    <n v="100"/>
    <n v="49.5"/>
    <n v="4"/>
    <n v="0"/>
    <n v="4550"/>
    <n v="8.0808080808080815E-2"/>
    <n v="61.875"/>
    <n v="4950"/>
    <e v="#N/A"/>
    <n v="0"/>
  </r>
  <r>
    <x v="0"/>
    <n v="18600"/>
    <d v="2022-04-28T00:00:00"/>
    <n v="100"/>
    <n v="35.299999999999997"/>
    <n v="3.25"/>
    <n v="0"/>
    <n v="3204.9999999999995"/>
    <n v="9.2067988668555242E-2"/>
    <n v="44.125"/>
    <n v="3529.9999999999995"/>
    <e v="#N/A"/>
    <n v="0"/>
  </r>
  <r>
    <x v="5"/>
    <n v="38500"/>
    <d v="2022-04-28T00:00:00"/>
    <n v="25"/>
    <n v="316"/>
    <n v="838.5"/>
    <n v="0"/>
    <n v="-13062.5"/>
    <n v="2.653481012658228"/>
    <n v="395"/>
    <n v="7900"/>
    <e v="#N/A"/>
    <n v="0"/>
  </r>
  <r>
    <x v="5"/>
    <n v="39000"/>
    <d v="2022-04-28T00:00:00"/>
    <n v="25"/>
    <n v="213.55"/>
    <n v="359.65"/>
    <n v="0"/>
    <n v="-3652.4999999999991"/>
    <n v="1.6841489112619994"/>
    <n v="266.9375"/>
    <n v="5338.75"/>
    <e v="#N/A"/>
    <n v="0"/>
  </r>
  <r>
    <x v="5"/>
    <n v="39500"/>
    <d v="2022-04-28T00:00:00"/>
    <n v="25"/>
    <n v="150"/>
    <n v="234.2"/>
    <n v="0"/>
    <n v="-2104.9999999999995"/>
    <n v="1.5613333333333332"/>
    <n v="187.5"/>
    <n v="3750"/>
    <e v="#N/A"/>
    <n v="0"/>
  </r>
  <r>
    <x v="5"/>
    <n v="40000"/>
    <d v="2022-04-28T00:00:00"/>
    <n v="25"/>
    <n v="95.5"/>
    <n v="3.2"/>
    <n v="0"/>
    <n v="2307.5"/>
    <n v="3.3507853403141365E-2"/>
    <n v="119.375"/>
    <n v="2387.5"/>
    <e v="#N/A"/>
    <n v="0"/>
  </r>
  <r>
    <x v="1"/>
    <n v="290"/>
    <d v="2022-04-28T00:00:00"/>
    <n v="6750"/>
    <n v="1.35"/>
    <n v="15.15"/>
    <n v="0"/>
    <n v="-93150"/>
    <n v="11.222222222222221"/>
    <n v="1.6875"/>
    <n v="9112.5"/>
    <e v="#N/A"/>
    <n v="0"/>
  </r>
  <r>
    <x v="5"/>
    <n v="40000"/>
    <d v="2022-04-28T00:00:00"/>
    <n v="50"/>
    <n v="128.75"/>
    <n v="3.2"/>
    <n v="0"/>
    <n v="6277.5"/>
    <n v="2.4854368932038837E-2"/>
    <n v="160.9375"/>
    <n v="6437.5"/>
    <e v="#N/A"/>
    <n v="0"/>
  </r>
  <r>
    <x v="5"/>
    <m/>
    <d v="2022-04-28T00:00:00"/>
    <n v="50"/>
    <n v="37157.65"/>
    <n v="36085"/>
    <n v="0"/>
    <n v="-53632.500000000073"/>
    <n v="0.97113245859197228"/>
    <n v="27868.237500000003"/>
    <n v="1857882.5"/>
    <e v="#N/A"/>
    <n v="1857882.5"/>
  </r>
  <r>
    <x v="1"/>
    <m/>
    <d v="2022-04-28T00:00:00"/>
    <n v="13500"/>
    <n v="246.5"/>
    <n v="285.55"/>
    <n v="0"/>
    <n v="527175.00000000012"/>
    <n v="1.1584178498985802"/>
    <n v="184.875"/>
    <n v="3327750"/>
    <e v="#N/A"/>
    <n v="3327750"/>
  </r>
  <r>
    <x v="5"/>
    <n v="40000"/>
    <d v="2022-04-28T00:00:00"/>
    <n v="25"/>
    <n v="338.75"/>
    <n v="3.2"/>
    <n v="0"/>
    <n v="8388.75"/>
    <n v="9.4464944649446502E-3"/>
    <n v="423.4375"/>
    <n v="8468.75"/>
    <e v="#N/A"/>
    <n v="0"/>
  </r>
  <r>
    <x v="5"/>
    <m/>
    <d v="2022-04-28T00:00:00"/>
    <n v="25"/>
    <n v="38638.15"/>
    <n v="36085"/>
    <n v="0"/>
    <n v="-63828.750000000036"/>
    <n v="0.93392152574592724"/>
    <n v="28978.612500000003"/>
    <n v="965953.75"/>
    <e v="#N/A"/>
    <n v="965953.75"/>
  </r>
  <r>
    <x v="5"/>
    <n v="38000"/>
    <d v="2022-04-28T00:00:00"/>
    <n v="25"/>
    <n v="664.85"/>
    <n v="1718.2"/>
    <n v="0"/>
    <n v="26333.749999999996"/>
    <n v="2.5843423328570352"/>
    <n v="498.63750000000005"/>
    <n v="16621.25"/>
    <e v="#N/A"/>
    <n v="0"/>
  </r>
  <r>
    <x v="1"/>
    <m/>
    <d v="2022-04-28T00:00:00"/>
    <n v="6750"/>
    <n v="271.8"/>
    <n v="276.95"/>
    <n v="0"/>
    <n v="34762.499999999847"/>
    <n v="1.0189477557027224"/>
    <n v="203.85000000000002"/>
    <n v="1834650"/>
    <e v="#N/A"/>
    <n v="1834650"/>
  </r>
  <r>
    <x v="1"/>
    <n v="300"/>
    <d v="2022-04-28T00:00:00"/>
    <n v="6750"/>
    <n v="5.8"/>
    <n v="13.2"/>
    <n v="0"/>
    <n v="-49950"/>
    <n v="2.2758620689655173"/>
    <n v="7.25"/>
    <n v="39150"/>
    <e v="#N/A"/>
    <n v="0"/>
  </r>
  <r>
    <x v="1"/>
    <n v="290"/>
    <d v="2022-04-28T00:00:00"/>
    <n v="6750"/>
    <n v="8"/>
    <n v="12.7"/>
    <n v="0"/>
    <n v="-31724.999999999996"/>
    <n v="1.5874999999999999"/>
    <n v="10"/>
    <n v="54000"/>
    <e v="#N/A"/>
    <n v="0"/>
  </r>
  <r>
    <x v="1"/>
    <m/>
    <d v="2022-04-28T00:00:00"/>
    <n v="6750"/>
    <n v="276.5"/>
    <n v="285.55"/>
    <n v="0"/>
    <n v="61087.50000000008"/>
    <n v="1.0327305605786619"/>
    <n v="207.375"/>
    <n v="1866375"/>
    <e v="#N/A"/>
    <n v="1866375"/>
  </r>
  <r>
    <x v="1"/>
    <m/>
    <d v="2022-04-28T00:00:00"/>
    <n v="6750"/>
    <n v="286.2"/>
    <n v="257.3"/>
    <n v="0"/>
    <n v="-195074.99999999985"/>
    <n v="0.89902166317260668"/>
    <n v="214.64999999999998"/>
    <n v="1931850"/>
    <e v="#N/A"/>
    <n v="1931850"/>
  </r>
  <r>
    <x v="1"/>
    <m/>
    <d v="2022-04-28T00:00:00"/>
    <n v="6750"/>
    <n v="286"/>
    <n v="244"/>
    <n v="0"/>
    <n v="-283500"/>
    <n v="0.85314685314685312"/>
    <n v="214.5"/>
    <n v="1930500"/>
    <e v="#N/A"/>
    <n v="1930500"/>
  </r>
  <r>
    <x v="1"/>
    <m/>
    <d v="2022-04-28T00:00:00"/>
    <n v="6750"/>
    <n v="285"/>
    <n v="282"/>
    <n v="0"/>
    <n v="-20250"/>
    <n v="0.98947368421052628"/>
    <n v="213.75"/>
    <n v="1923750"/>
    <e v="#N/A"/>
    <n v="1923750"/>
  </r>
  <r>
    <x v="3"/>
    <m/>
    <d v="2022-04-28T00:00:00"/>
    <n v="2850"/>
    <n v="459.45"/>
    <n v="430.8"/>
    <n v="0"/>
    <n v="0"/>
    <n v="0.93764283382304936"/>
    <n v="344.58749999999998"/>
    <n v="0"/>
    <e v="#N/A"/>
    <n v="1309432.5"/>
  </r>
  <r>
    <x v="3"/>
    <m/>
    <d v="2022-04-28T00:00:00"/>
    <n v="2850"/>
    <n v="459.3"/>
    <n v="430.8"/>
    <n v="0"/>
    <n v="0"/>
    <n v="0.93794905290659703"/>
    <n v="344.47500000000002"/>
    <n v="0"/>
    <e v="#N/A"/>
    <n v="1309005"/>
  </r>
  <r>
    <x v="4"/>
    <m/>
    <d v="2022-04-28T00:00:00"/>
    <n v="3750"/>
    <n v="246.3"/>
    <n v="219.05"/>
    <n v="0"/>
    <n v="0"/>
    <n v="0.88936256597645147"/>
    <n v="184.72500000000002"/>
    <n v="0"/>
    <e v="#N/A"/>
    <n v="923625"/>
  </r>
  <r>
    <x v="1"/>
    <m/>
    <d v="2022-04-28T00:00:00"/>
    <n v="6750"/>
    <n v="289.5"/>
    <n v="290.2"/>
    <n v="0"/>
    <n v="4724.9999999999236"/>
    <n v="1.0024179620034541"/>
    <n v="217.125"/>
    <n v="1954125"/>
    <e v="#N/A"/>
    <n v="1954125"/>
  </r>
  <r>
    <x v="1"/>
    <m/>
    <d v="2022-04-28T00:00:00"/>
    <n v="6750"/>
    <n v="293.39999999999998"/>
    <n v="247.65"/>
    <n v="0"/>
    <n v="0"/>
    <n v="0.84406952965235182"/>
    <n v="220.04999999999998"/>
    <n v="0"/>
    <e v="#N/A"/>
    <n v="1980449.9999999998"/>
  </r>
  <r>
    <x v="1"/>
    <n v="300"/>
    <d v="2022-04-28T00:00:00"/>
    <n v="6750"/>
    <n v="10.5"/>
    <n v="13.2"/>
    <n v="0"/>
    <n v="-18224.999999999996"/>
    <n v="1.2571428571428571"/>
    <n v="13.125"/>
    <n v="70875"/>
    <e v="#N/A"/>
    <n v="0"/>
  </r>
  <r>
    <x v="1"/>
    <n v="315"/>
    <d v="2022-04-28T00:00:00"/>
    <n v="6750"/>
    <n v="8.25"/>
    <n v="1.65"/>
    <n v="0"/>
    <n v="44550"/>
    <n v="0.19999999999999998"/>
    <n v="10.3125"/>
    <n v="55687.5"/>
    <e v="#N/A"/>
    <n v="0"/>
  </r>
  <r>
    <x v="1"/>
    <n v="320"/>
    <d v="2022-04-28T00:00:00"/>
    <n v="6750"/>
    <n v="7.2"/>
    <n v="1.4"/>
    <n v="0"/>
    <n v="39150.000000000007"/>
    <n v="0.19444444444444442"/>
    <n v="9"/>
    <n v="48600"/>
    <e v="#N/A"/>
    <n v="0"/>
  </r>
  <r>
    <x v="1"/>
    <n v="280"/>
    <d v="2022-04-28T00:00:00"/>
    <n v="6750"/>
    <n v="22.2"/>
    <n v="12.25"/>
    <n v="0"/>
    <n v="67162.5"/>
    <n v="0.55180180180180183"/>
    <n v="27.75"/>
    <n v="149850"/>
    <e v="#N/A"/>
    <n v="0"/>
  </r>
  <r>
    <x v="6"/>
    <m/>
    <d v="2022-04-28T00:00:00"/>
    <n v="150"/>
    <n v="3736.25"/>
    <n v="3557.3"/>
    <n v="0"/>
    <n v="0"/>
    <n v="0.95210438273670128"/>
    <n v="2802.1875"/>
    <n v="0"/>
    <e v="#N/A"/>
    <n v="560437.5"/>
  </r>
  <r>
    <x v="1"/>
    <n v="310"/>
    <d v="2022-04-28T00:00:00"/>
    <n v="6750"/>
    <n v="6.3"/>
    <n v="1.3"/>
    <n v="0"/>
    <n v="33750"/>
    <n v="0.20634920634920637"/>
    <n v="7.875"/>
    <n v="42525"/>
    <e v="#N/A"/>
    <n v="0"/>
  </r>
  <r>
    <x v="1"/>
    <n v="295"/>
    <d v="2022-04-28T00:00:00"/>
    <n v="6750"/>
    <n v="6.9"/>
    <n v="1.65"/>
    <n v="0"/>
    <n v="35437.5"/>
    <n v="0.23913043478260868"/>
    <n v="8.625"/>
    <n v="46575"/>
    <e v="#N/A"/>
    <n v="0"/>
  </r>
  <r>
    <x v="1"/>
    <n v="300"/>
    <d v="2022-04-28T00:00:00"/>
    <n v="6750"/>
    <n v="5.7"/>
    <n v="0.75"/>
    <n v="0"/>
    <n v="33412.5"/>
    <n v="0.13157894736842105"/>
    <n v="7.125"/>
    <n v="38475"/>
    <e v="#N/A"/>
    <n v="0"/>
  </r>
  <r>
    <x v="1"/>
    <n v="280"/>
    <d v="2022-04-28T00:00:00"/>
    <n v="6750"/>
    <n v="12.45"/>
    <n v="0.7"/>
    <n v="0"/>
    <n v="79312.5"/>
    <n v="5.6224899598393573E-2"/>
    <n v="15.5625"/>
    <n v="84037.5"/>
    <e v="#N/A"/>
    <n v="0"/>
  </r>
  <r>
    <x v="4"/>
    <m/>
    <d v="2022-04-28T00:00:00"/>
    <n v="3750"/>
    <n v="234.9"/>
    <n v="219.05"/>
    <n v="0"/>
    <n v="0"/>
    <n v="0.93252447850149001"/>
    <n v="176.17500000000001"/>
    <n v="0"/>
    <e v="#N/A"/>
    <n v="880875"/>
  </r>
  <r>
    <x v="0"/>
    <m/>
    <d v="2022-04-28T00:00:00"/>
    <n v="50"/>
    <n v="17549.150000000001"/>
    <n v="17140"/>
    <n v="0"/>
    <n v="-20457.500000000073"/>
    <n v="0.97668548049335713"/>
    <n v="13161.862500000001"/>
    <n v="877457.50000000012"/>
    <e v="#N/A"/>
    <n v="877457.50000000012"/>
  </r>
  <r>
    <x v="4"/>
    <n v="250"/>
    <d v="2022-04-28T00:00:00"/>
    <n v="3750"/>
    <n v="4"/>
    <n v="0.05"/>
    <n v="0"/>
    <n v="14812.5"/>
    <n v="1.2500000000000001E-2"/>
    <n v="5"/>
    <n v="15000"/>
    <e v="#N/A"/>
    <n v="0"/>
  </r>
  <r>
    <x v="1"/>
    <n v="300"/>
    <d v="2022-04-28T00:00:00"/>
    <n v="6750"/>
    <n v="2.85"/>
    <n v="0.75"/>
    <n v="0"/>
    <n v="14175"/>
    <n v="0.26315789473684209"/>
    <n v="3.5625"/>
    <n v="19237.5"/>
    <e v="#N/A"/>
    <n v="0"/>
  </r>
  <r>
    <x v="3"/>
    <n v="470"/>
    <d v="2022-04-28T00:00:00"/>
    <n v="2850"/>
    <n v="2.4500000000000002"/>
    <n v="1.75"/>
    <n v="0"/>
    <n v="1995.0000000000005"/>
    <n v="0.71428571428571419"/>
    <n v="3.0625"/>
    <n v="6982.5000000000009"/>
    <e v="#N/A"/>
    <n v="0"/>
  </r>
  <r>
    <x v="5"/>
    <m/>
    <d v="2022-04-28T00:00:00"/>
    <n v="25"/>
    <n v="37157.65"/>
    <n v="36064.75"/>
    <n v="0"/>
    <n v="-27322.500000000036"/>
    <n v="0.97058748333115785"/>
    <n v="27868.237500000003"/>
    <n v="928941.25"/>
    <e v="#N/A"/>
    <n v="928941.25"/>
  </r>
  <r>
    <x v="3"/>
    <n v="500"/>
    <d v="2022-05-26T00:00:00"/>
    <n v="2850"/>
    <n v="5.6"/>
    <n v="1.05"/>
    <n v="0"/>
    <n v="12967.5"/>
    <n v="0.18750000000000003"/>
    <n v="7"/>
    <n v="15959.999999999998"/>
    <n v="0"/>
    <n v="0"/>
  </r>
  <r>
    <x v="3"/>
    <n v="410"/>
    <d v="2022-04-28T00:00:00"/>
    <n v="2850"/>
    <n v="2.35"/>
    <n v="0.05"/>
    <n v="0"/>
    <n v="-6555.0000000000009"/>
    <n v="2.1276595744680851E-2"/>
    <n v="1.7625000000000002"/>
    <n v="6697.5"/>
    <e v="#N/A"/>
    <n v="0"/>
  </r>
  <r>
    <x v="6"/>
    <m/>
    <d v="2022-04-28T00:00:00"/>
    <n v="150"/>
    <n v="3549.35"/>
    <n v="3557.45"/>
    <n v="0"/>
    <n v="1214.9999999999864"/>
    <n v="1.002282107991604"/>
    <n v="2662.0124999999998"/>
    <n v="532402.5"/>
    <e v="#N/A"/>
    <n v="532402.5"/>
  </r>
  <r>
    <x v="4"/>
    <n v="220"/>
    <d v="2022-04-28T00:00:00"/>
    <n v="3750"/>
    <n v="2.6"/>
    <n v="7.55"/>
    <n v="0"/>
    <n v="18562.499999999996"/>
    <n v="2.9038461538461537"/>
    <n v="1.9500000000000002"/>
    <n v="9750"/>
    <e v="#N/A"/>
    <n v="0"/>
  </r>
  <r>
    <x v="5"/>
    <n v="35000"/>
    <d v="2022-05-26T00:00:00"/>
    <n v="25"/>
    <n v="531.85"/>
    <n v="1638.45"/>
    <n v="0"/>
    <n v="27664.999999999996"/>
    <n v="3.0806618407445709"/>
    <n v="398.88750000000005"/>
    <n v="13296.25"/>
    <n v="0"/>
    <n v="0"/>
  </r>
  <r>
    <x v="3"/>
    <n v="410"/>
    <d v="2022-04-28T00:00:00"/>
    <n v="2850"/>
    <n v="1.5"/>
    <n v="0.05"/>
    <n v="0"/>
    <n v="-4132.5"/>
    <n v="3.3333333333333333E-2"/>
    <n v="1.125"/>
    <n v="4275"/>
    <e v="#N/A"/>
    <n v="0"/>
  </r>
  <r>
    <x v="4"/>
    <n v="250"/>
    <d v="2022-04-28T00:00:00"/>
    <n v="3750"/>
    <n v="2.1"/>
    <n v="0.05"/>
    <n v="0"/>
    <n v="7687.5000000000009"/>
    <n v="2.3809523809523808E-2"/>
    <n v="2.625"/>
    <n v="7875"/>
    <e v="#N/A"/>
    <n v="0"/>
  </r>
  <r>
    <x v="3"/>
    <n v="460"/>
    <d v="2022-04-28T00:00:00"/>
    <n v="2850"/>
    <n v="4.3499999999999996"/>
    <n v="0.05"/>
    <n v="0"/>
    <n v="12255"/>
    <n v="1.149425287356322E-2"/>
    <n v="5.4375"/>
    <n v="12397.499999999998"/>
    <e v="#N/A"/>
    <n v="0"/>
  </r>
  <r>
    <x v="3"/>
    <n v="470"/>
    <d v="2022-04-28T00:00:00"/>
    <n v="2850"/>
    <n v="2.5"/>
    <n v="0.05"/>
    <n v="0"/>
    <n v="6982.5000000000009"/>
    <n v="0.02"/>
    <n v="3.125"/>
    <n v="7125"/>
    <e v="#N/A"/>
    <n v="0"/>
  </r>
  <r>
    <x v="1"/>
    <n v="270"/>
    <d v="2022-04-28T00:00:00"/>
    <n v="6750"/>
    <n v="2.15"/>
    <n v="0.15"/>
    <n v="0"/>
    <n v="13500"/>
    <n v="6.9767441860465115E-2"/>
    <n v="2.6875"/>
    <n v="14512.5"/>
    <e v="#N/A"/>
    <n v="0"/>
  </r>
  <r>
    <x v="1"/>
    <m/>
    <d v="2022-05-26T00:00:00"/>
    <n v="6750"/>
    <n v="258"/>
    <n v="212.55"/>
    <n v="0"/>
    <n v="-306787.49999999994"/>
    <n v="0.82383720930232562"/>
    <n v="193.5"/>
    <n v="1741500"/>
    <e v="#VALUE!"/>
    <n v="1741500"/>
  </r>
  <r>
    <x v="1"/>
    <n v="280"/>
    <d v="2022-05-26T00:00:00"/>
    <n v="6750"/>
    <n v="3.65"/>
    <n v="0.95"/>
    <n v="0"/>
    <n v="18225"/>
    <n v="0.26027397260273971"/>
    <n v="4.5625"/>
    <n v="24637.5"/>
    <n v="0"/>
    <n v="0"/>
  </r>
  <r>
    <x v="5"/>
    <n v="38000"/>
    <d v="2022-05-26T00:00:00"/>
    <n v="25"/>
    <n v="317"/>
    <n v="3.35"/>
    <n v="0"/>
    <n v="7841.2499999999991"/>
    <n v="1.056782334384858E-2"/>
    <n v="396.25"/>
    <n v="7925"/>
    <n v="0"/>
    <n v="0"/>
  </r>
  <r>
    <x v="1"/>
    <m/>
    <d v="2022-05-26T00:00:00"/>
    <n v="3375"/>
    <n v="248.85"/>
    <n v="250.2"/>
    <n v="0"/>
    <n v="4556.2499999999809"/>
    <n v="1.0054249547920433"/>
    <n v="186.63749999999999"/>
    <n v="839868.75"/>
    <e v="#VALUE!"/>
    <n v="839868.75"/>
  </r>
  <r>
    <x v="6"/>
    <m/>
    <d v="2022-05-26T00:00:00"/>
    <n v="150"/>
    <n v="3555.8"/>
    <n v="3314"/>
    <n v="0"/>
    <n v="-36270.000000000029"/>
    <n v="0.9319984251082738"/>
    <n v="2666.8500000000004"/>
    <n v="533370"/>
    <e v="#VALUE!"/>
    <n v="533370"/>
  </r>
  <r>
    <x v="3"/>
    <m/>
    <d v="2022-05-26T00:00:00"/>
    <n v="2850"/>
    <n v="432.25"/>
    <n v="433.7"/>
    <n v="0"/>
    <n v="4132.4999999999673"/>
    <n v="1.0033545401966455"/>
    <n v="324.1875"/>
    <n v="1231912.5"/>
    <e v="#VALUE!"/>
    <n v="1231912.5"/>
  </r>
  <r>
    <x v="4"/>
    <m/>
    <d v="2022-05-26T00:00:00"/>
    <n v="7500"/>
    <n v="219.8"/>
    <n v="178.15"/>
    <n v="0"/>
    <n v="-312375.00000000006"/>
    <n v="0.81050955414012738"/>
    <n v="164.85000000000002"/>
    <n v="1648500"/>
    <e v="#VALUE!"/>
    <n v="1648500"/>
  </r>
  <r>
    <x v="7"/>
    <m/>
    <d v="2022-05-26T00:00:00"/>
    <n v="575"/>
    <n v="1684.05"/>
    <n v="1641.75"/>
    <n v="0"/>
    <n v="-24322.499999999975"/>
    <n v="0.97488198093880829"/>
    <n v="1263.0374999999999"/>
    <n v="968328.75"/>
    <e v="#VALUE!"/>
    <n v="968328.75"/>
  </r>
  <r>
    <x v="8"/>
    <m/>
    <d v="2022-05-26T00:00:00"/>
    <n v="200"/>
    <n v="3565"/>
    <n v="2922.6"/>
    <n v="0"/>
    <n v="-128480.00000000001"/>
    <n v="0.81980364656381488"/>
    <n v="2673.75"/>
    <n v="713000"/>
    <e v="#VALUE!"/>
    <n v="713000"/>
  </r>
  <r>
    <x v="3"/>
    <m/>
    <d v="2022-05-26T00:00:00"/>
    <n v="1425"/>
    <n v="432.25"/>
    <n v="424.9"/>
    <n v="0"/>
    <n v="-10473.750000000033"/>
    <n v="0.98299595141700402"/>
    <n v="324.1875"/>
    <n v="615956.25"/>
    <e v="#VALUE!"/>
    <n v="615956.25"/>
  </r>
  <r>
    <x v="3"/>
    <n v="410"/>
    <d v="2022-05-26T00:00:00"/>
    <n v="1425"/>
    <n v="10.35"/>
    <n v="13.6"/>
    <n v="0"/>
    <n v="-4631.25"/>
    <n v="1.3140096618357489"/>
    <n v="12.9375"/>
    <n v="14748.75"/>
    <n v="0"/>
    <n v="0"/>
  </r>
  <r>
    <x v="4"/>
    <n v="205"/>
    <d v="2022-05-26T00:00:00"/>
    <n v="3750"/>
    <n v="7"/>
    <n v="15.35"/>
    <n v="0"/>
    <n v="-31312.5"/>
    <n v="2.1928571428571426"/>
    <n v="8.75"/>
    <n v="26250"/>
    <n v="0"/>
    <n v="0"/>
  </r>
  <r>
    <x v="0"/>
    <n v="18000"/>
    <d v="2022-05-26T00:00:00"/>
    <n v="100"/>
    <n v="67.599999999999994"/>
    <n v="6.95"/>
    <n v="0"/>
    <n v="6064.9999999999991"/>
    <n v="0.10281065088757398"/>
    <n v="84.5"/>
    <n v="6759.9999999999991"/>
    <n v="0"/>
    <n v="0"/>
  </r>
  <r>
    <x v="0"/>
    <n v="18000"/>
    <d v="2022-06-30T00:00:00"/>
    <n v="100"/>
    <n v="179"/>
    <n v="30.5"/>
    <n v="0"/>
    <n v="14850"/>
    <n v="0.17039106145251395"/>
    <n v="223.75"/>
    <n v="17900"/>
    <n v="0"/>
    <n v="0"/>
  </r>
  <r>
    <x v="0"/>
    <n v="16000"/>
    <d v="2022-06-30T00:00:00"/>
    <n v="50"/>
    <n v="164.5"/>
    <n v="440"/>
    <n v="0"/>
    <n v="-13775"/>
    <n v="2.6747720364741641"/>
    <n v="205.625"/>
    <n v="8225"/>
    <n v="0"/>
    <n v="0"/>
  </r>
  <r>
    <x v="5"/>
    <m/>
    <d v="2022-05-26T00:00:00"/>
    <n v="25"/>
    <n v="36129.85"/>
    <n v="34629.15"/>
    <n v="0"/>
    <n v="-37517.499999999927"/>
    <n v="0.95846370798660951"/>
    <n v="27097.387499999997"/>
    <n v="903246.25"/>
    <e v="#VALUE!"/>
    <n v="903246.25"/>
  </r>
  <r>
    <x v="0"/>
    <m/>
    <d v="2022-05-26T00:00:00"/>
    <n v="50"/>
    <n v="17163.25"/>
    <n v="16076.6"/>
    <n v="0"/>
    <n v="-54332.499999999985"/>
    <n v="0.93668739894833442"/>
    <n v="12872.4375"/>
    <n v="858162.5"/>
    <e v="#VALUE!"/>
    <n v="858162.5"/>
  </r>
  <r>
    <x v="0"/>
    <m/>
    <d v="2022-06-30T00:00:00"/>
    <n v="50"/>
    <n v="17191.3"/>
    <n v="16578.95"/>
    <n v="0"/>
    <n v="-30617.499999999927"/>
    <n v="0.96438023884173985"/>
    <n v="12893.474999999999"/>
    <n v="859565"/>
    <n v="0"/>
    <n v="859565"/>
  </r>
  <r>
    <x v="4"/>
    <n v="240"/>
    <d v="2022-05-26T00:00:00"/>
    <n v="3750"/>
    <n v="3.9"/>
    <n v="0.85"/>
    <n v="0"/>
    <n v="11437.5"/>
    <n v="0.21794871794871795"/>
    <n v="4.875"/>
    <n v="14625"/>
    <n v="0"/>
    <n v="0"/>
  </r>
  <r>
    <x v="8"/>
    <n v="3200"/>
    <d v="2022-06-30T00:00:00"/>
    <n v="200"/>
    <n v="60.05"/>
    <n v="251"/>
    <n v="0"/>
    <n v="-38190"/>
    <n v="4.1798501248959203"/>
    <n v="75.0625"/>
    <n v="12010"/>
    <n v="0"/>
    <n v="0"/>
  </r>
  <r>
    <x v="8"/>
    <n v="3900"/>
    <d v="2022-05-26T00:00:00"/>
    <n v="200"/>
    <n v="77"/>
    <n v="5.95"/>
    <n v="0"/>
    <n v="14210"/>
    <n v="7.7272727272727271E-2"/>
    <n v="96.25"/>
    <n v="15400"/>
    <n v="0"/>
    <n v="0"/>
  </r>
  <r>
    <x v="5"/>
    <n v="34800"/>
    <d v="2022-05-26T00:00:00"/>
    <n v="25"/>
    <n v="366"/>
    <n v="1499.85"/>
    <n v="0"/>
    <n v="-28346.249999999996"/>
    <n v="4.097950819672131"/>
    <n v="457.5"/>
    <n v="9150"/>
    <n v="0"/>
    <n v="0"/>
  </r>
  <r>
    <x v="5"/>
    <n v="37500"/>
    <d v="2022-05-26T00:00:00"/>
    <n v="25"/>
    <n v="400.75"/>
    <n v="4.4000000000000004"/>
    <n v="0"/>
    <n v="9908.75"/>
    <n v="1.0979413599500937E-2"/>
    <n v="500.9375"/>
    <n v="10018.75"/>
    <n v="0"/>
    <n v="0"/>
  </r>
  <r>
    <x v="5"/>
    <n v="37500"/>
    <d v="2022-05-26T00:00:00"/>
    <n v="25"/>
    <n v="401.35"/>
    <n v="4.4000000000000004"/>
    <n v="0"/>
    <n v="9923.7500000000018"/>
    <n v="1.0962999875420456E-2"/>
    <n v="501.6875"/>
    <n v="10033.75"/>
    <n v="0"/>
    <n v="0"/>
  </r>
  <r>
    <x v="1"/>
    <n v="270"/>
    <d v="2022-05-26T00:00:00"/>
    <n v="6750"/>
    <n v="5.4"/>
    <n v="0.85"/>
    <n v="0"/>
    <n v="30712.500000000004"/>
    <n v="0.15740740740740738"/>
    <n v="6.75"/>
    <n v="36450"/>
    <n v="0"/>
    <n v="0"/>
  </r>
  <r>
    <x v="0"/>
    <n v="18200"/>
    <d v="2022-06-30T00:00:00"/>
    <n v="50"/>
    <n v="153.15"/>
    <n v="0.05"/>
    <n v="0"/>
    <n v="7655"/>
    <n v="3.2647730982696702E-4"/>
    <n v="191.4375"/>
    <n v="7657.5"/>
    <n v="0"/>
    <n v="0"/>
  </r>
  <r>
    <x v="5"/>
    <m/>
    <d v="2022-06-30T00:00:00"/>
    <n v="25"/>
    <n v="36045"/>
    <n v="36097"/>
    <n v="0"/>
    <n v="1300"/>
    <n v="1.0014426411430157"/>
    <n v="27033.75"/>
    <n v="901125"/>
    <n v="0"/>
    <n v="901125"/>
  </r>
  <r>
    <x v="1"/>
    <m/>
    <d v="2022-05-26T00:00:00"/>
    <n v="3375"/>
    <n v="248.85"/>
    <n v="254.5"/>
    <n v="0"/>
    <n v="19068.750000000018"/>
    <n v="1.0227044404259595"/>
    <n v="186.63749999999999"/>
    <n v="839868.75"/>
    <e v="#VALUE!"/>
    <n v="839868.75"/>
  </r>
  <r>
    <x v="1"/>
    <n v="230"/>
    <d v="2022-05-26T00:00:00"/>
    <n v="6750"/>
    <n v="3.4"/>
    <n v="0"/>
    <n v="0"/>
    <n v="0"/>
    <n v="0"/>
    <n v="4.25"/>
    <n v="22950"/>
    <n v="29700.000000000004"/>
    <n v="0"/>
  </r>
  <r>
    <x v="0"/>
    <m/>
    <d v="2022-06-30T00:00:00"/>
    <n v="50"/>
    <n v="16739.150000000001"/>
    <n v="16800"/>
    <n v="0"/>
    <n v="3042.4999999999272"/>
    <n v="1.0036351905562706"/>
    <n v="12554.362500000001"/>
    <n v="836957.50000000012"/>
    <n v="0"/>
    <n v="836957.50000000012"/>
  </r>
  <r>
    <x v="4"/>
    <n v="220"/>
    <d v="2022-05-26T00:00:00"/>
    <n v="3750"/>
    <n v="3.9"/>
    <n v="0.25"/>
    <n v="0"/>
    <n v="13687.5"/>
    <n v="6.4102564102564111E-2"/>
    <n v="4.875"/>
    <n v="14625"/>
    <n v="0"/>
    <n v="0"/>
  </r>
  <r>
    <x v="1"/>
    <n v="230"/>
    <d v="2022-05-26T00:00:00"/>
    <n v="6750"/>
    <n v="4.1500000000000004"/>
    <n v="0"/>
    <n v="0"/>
    <n v="0"/>
    <n v="0"/>
    <n v="5.1875"/>
    <n v="28012.500000000004"/>
    <n v="34762.5"/>
    <n v="0"/>
  </r>
  <r>
    <x v="4"/>
    <m/>
    <d v="2022-05-26T00:00:00"/>
    <n v="3750"/>
    <n v="198.5"/>
    <n v="199.05"/>
    <n v="0"/>
    <n v="2062.5000000000427"/>
    <n v="1.0027707808564232"/>
    <n v="148.875"/>
    <n v="744375"/>
    <e v="#VALUE!"/>
    <n v="744375"/>
  </r>
  <r>
    <x v="4"/>
    <n v="220"/>
    <d v="2022-05-26T00:00:00"/>
    <n v="3750"/>
    <n v="2.2000000000000002"/>
    <n v="0.25"/>
    <n v="0"/>
    <n v="7312.5000000000009"/>
    <n v="0.11363636363636363"/>
    <n v="2.75"/>
    <n v="8250"/>
    <n v="0"/>
    <n v="0"/>
  </r>
  <r>
    <x v="0"/>
    <m/>
    <d v="2022-05-26T00:00:00"/>
    <n v="50"/>
    <n v="16398"/>
    <n v="16076.6"/>
    <n v="0"/>
    <n v="-16069.999999999982"/>
    <n v="0.98040004878643738"/>
    <n v="12298.5"/>
    <n v="819900"/>
    <e v="#VALUE!"/>
    <n v="819900"/>
  </r>
  <r>
    <x v="1"/>
    <n v="255"/>
    <d v="2022-05-26T00:00:00"/>
    <n v="3375"/>
    <n v="2.2999999999999998"/>
    <n v="0.05"/>
    <n v="0"/>
    <n v="7593.75"/>
    <n v="2.1739130434782612E-2"/>
    <n v="2.875"/>
    <n v="7762.4999999999991"/>
    <n v="0"/>
    <n v="0"/>
  </r>
  <r>
    <x v="3"/>
    <n v="430"/>
    <d v="2022-05-26T00:00:00"/>
    <n v="1425"/>
    <n v="6"/>
    <n v="0.05"/>
    <n v="0"/>
    <n v="8478.75"/>
    <n v="8.3333333333333332E-3"/>
    <n v="7.5"/>
    <n v="8550"/>
    <n v="0"/>
    <n v="0"/>
  </r>
  <r>
    <x v="3"/>
    <n v="440"/>
    <d v="2022-05-26T00:00:00"/>
    <n v="1425"/>
    <n v="4.4000000000000004"/>
    <n v="0.05"/>
    <n v="0"/>
    <n v="6198.7500000000009"/>
    <n v="1.1363636363636364E-2"/>
    <n v="5.5"/>
    <n v="6270.0000000000009"/>
    <n v="0"/>
    <n v="0"/>
  </r>
  <r>
    <x v="0"/>
    <n v="17400"/>
    <d v="2022-05-26T00:00:00"/>
    <n v="50"/>
    <n v="26.5"/>
    <n v="1.55"/>
    <n v="0"/>
    <n v="1247.5"/>
    <n v="5.849056603773585E-2"/>
    <n v="33.125"/>
    <n v="1325"/>
    <n v="0"/>
    <n v="0"/>
  </r>
  <r>
    <x v="3"/>
    <n v="440"/>
    <d v="2022-05-26T00:00:00"/>
    <n v="1425"/>
    <n v="4.6500000000000004"/>
    <n v="0.05"/>
    <n v="0"/>
    <n v="6555.0000000000009"/>
    <n v="1.075268817204301E-2"/>
    <n v="5.8125"/>
    <n v="6626.2500000000009"/>
    <n v="0"/>
    <n v="0"/>
  </r>
  <r>
    <x v="9"/>
    <m/>
    <d v="2022-05-26T00:00:00"/>
    <n v="1600"/>
    <n v="418"/>
    <n v="392.1"/>
    <n v="0"/>
    <n v="-41439.999999999964"/>
    <n v="0.93803827751196178"/>
    <n v="313.5"/>
    <n v="668800"/>
    <e v="#N/A"/>
    <n v="668800"/>
  </r>
  <r>
    <x v="9"/>
    <n v="430"/>
    <d v="2022-05-26T00:00:00"/>
    <n v="1600"/>
    <n v="11.1"/>
    <n v="5.22"/>
    <n v="0"/>
    <n v="9408"/>
    <n v="0.47027027027027024"/>
    <n v="13.875"/>
    <n v="17760"/>
    <e v="#N/A"/>
    <n v="0"/>
  </r>
  <r>
    <x v="9"/>
    <n v="430"/>
    <d v="2022-05-26T00:00:00"/>
    <n v="1600"/>
    <n v="10.4"/>
    <n v="5.22"/>
    <n v="0"/>
    <n v="8288.0000000000018"/>
    <n v="0.50192307692307692"/>
    <n v="13"/>
    <n v="16640"/>
    <e v="#N/A"/>
    <n v="0"/>
  </r>
  <r>
    <x v="9"/>
    <n v="430"/>
    <d v="2022-05-26T00:00:00"/>
    <n v="1600"/>
    <n v="8.1"/>
    <n v="5.22"/>
    <n v="0"/>
    <n v="4608"/>
    <n v="0.64444444444444449"/>
    <n v="10.125"/>
    <n v="12960"/>
    <e v="#N/A"/>
    <n v="0"/>
  </r>
  <r>
    <x v="3"/>
    <m/>
    <d v="2022-05-26T00:00:00"/>
    <n v="1425"/>
    <n v="394.2"/>
    <n v="406"/>
    <n v="0"/>
    <n v="16815.000000000015"/>
    <n v="1.0299340436326738"/>
    <n v="295.64999999999998"/>
    <n v="561735"/>
    <e v="#VALUE!"/>
    <n v="561735"/>
  </r>
  <r>
    <x v="1"/>
    <n v="240"/>
    <d v="2022-05-26T00:00:00"/>
    <n v="3375"/>
    <n v="3.1"/>
    <n v="0.1"/>
    <n v="0"/>
    <n v="10125"/>
    <n v="3.2258064516129031E-2"/>
    <n v="3.875"/>
    <n v="10462.5"/>
    <e v="#N/A"/>
    <n v="0"/>
  </r>
  <r>
    <x v="4"/>
    <n v="210"/>
    <d v="2022-05-26T00:00:00"/>
    <n v="3750"/>
    <n v="2.1"/>
    <n v="0.05"/>
    <n v="0"/>
    <n v="7687.5000000000009"/>
    <n v="2.3809523809523808E-2"/>
    <n v="2.625"/>
    <n v="7875"/>
    <e v="#N/A"/>
    <n v="0"/>
  </r>
  <r>
    <x v="3"/>
    <n v="420"/>
    <d v="2022-05-26T00:00:00"/>
    <n v="1425"/>
    <n v="4.4000000000000004"/>
    <n v="0.5"/>
    <n v="0"/>
    <n v="5557.5000000000009"/>
    <n v="0.11363636363636363"/>
    <n v="5.5"/>
    <n v="6270.0000000000009"/>
    <e v="#N/A"/>
    <n v="0"/>
  </r>
  <r>
    <x v="0"/>
    <n v="17400"/>
    <d v="2022-05-26T00:00:00"/>
    <n v="50"/>
    <n v="15"/>
    <n v="1.55"/>
    <n v="0"/>
    <n v="672.5"/>
    <n v="0.10333333333333333"/>
    <n v="18.75"/>
    <n v="750"/>
    <n v="0"/>
    <n v="0"/>
  </r>
  <r>
    <x v="8"/>
    <n v="3200"/>
    <d v="2022-05-26T00:00:00"/>
    <n v="200"/>
    <n v="48.65"/>
    <n v="35.65"/>
    <n v="0"/>
    <n v="2600"/>
    <n v="0.73278520041109974"/>
    <n v="60.8125"/>
    <n v="9730"/>
    <e v="#N/A"/>
    <n v="0"/>
  </r>
  <r>
    <x v="7"/>
    <n v="1800"/>
    <d v="2022-05-26T00:00:00"/>
    <n v="575"/>
    <n v="21"/>
    <n v="2.75"/>
    <n v="0"/>
    <n v="10493.75"/>
    <n v="0.13095238095238096"/>
    <n v="26.25"/>
    <n v="12075"/>
    <n v="0"/>
    <n v="0"/>
  </r>
  <r>
    <x v="7"/>
    <n v="1700"/>
    <d v="2022-05-26T00:00:00"/>
    <n v="575"/>
    <n v="7.45"/>
    <n v="3.55"/>
    <n v="0"/>
    <n v="2242.5"/>
    <n v="0.47651006711409394"/>
    <n v="9.3125"/>
    <n v="4283.75"/>
    <e v="#N/A"/>
    <n v="0"/>
  </r>
  <r>
    <x v="6"/>
    <m/>
    <d v="2022-05-26T00:00:00"/>
    <n v="150"/>
    <n v="3385.45"/>
    <n v="3403.05"/>
    <n v="0"/>
    <n v="2640.0000000000546"/>
    <n v="1.0051987180433917"/>
    <n v="2539.0874999999996"/>
    <n v="507817.5"/>
    <e v="#VALUE!"/>
    <n v="507817.5"/>
  </r>
  <r>
    <x v="7"/>
    <m/>
    <d v="2022-05-26T00:00:00"/>
    <n v="575"/>
    <n v="1582"/>
    <n v="1650.15"/>
    <n v="0"/>
    <n v="39186.250000000051"/>
    <n v="1.0430783817951961"/>
    <n v="1186.5"/>
    <n v="909650"/>
    <e v="#VALUE!"/>
    <n v="909650"/>
  </r>
  <r>
    <x v="8"/>
    <n v="3200"/>
    <d v="2022-05-26T00:00:00"/>
    <n v="200"/>
    <n v="59.3"/>
    <n v="35.65"/>
    <n v="0"/>
    <n v="4730"/>
    <n v="0.60118043844856661"/>
    <n v="74.125"/>
    <n v="11860"/>
    <e v="#N/A"/>
    <n v="0"/>
  </r>
  <r>
    <x v="6"/>
    <n v="3500"/>
    <d v="2022-05-26T00:00:00"/>
    <n v="150"/>
    <n v="31.35"/>
    <n v="1.25"/>
    <n v="0"/>
    <n v="4515"/>
    <n v="3.987240829346092E-2"/>
    <n v="39.1875"/>
    <n v="4702.5"/>
    <e v="#N/A"/>
    <n v="0"/>
  </r>
  <r>
    <x v="6"/>
    <n v="3500"/>
    <d v="2022-05-26T00:00:00"/>
    <n v="150"/>
    <n v="31.9"/>
    <n v="1.25"/>
    <n v="0"/>
    <n v="4597.5"/>
    <n v="3.918495297805643E-2"/>
    <n v="39.875"/>
    <n v="4785"/>
    <e v="#N/A"/>
    <n v="0"/>
  </r>
  <r>
    <x v="3"/>
    <n v="420"/>
    <d v="2022-05-26T00:00:00"/>
    <n v="1425"/>
    <n v="4.75"/>
    <n v="0.5"/>
    <n v="0"/>
    <n v="6056.25"/>
    <n v="0.10526315789473684"/>
    <n v="5.9375"/>
    <n v="6768.75"/>
    <e v="#N/A"/>
    <n v="0"/>
  </r>
  <r>
    <x v="1"/>
    <n v="240"/>
    <d v="2022-05-26T00:00:00"/>
    <n v="3375"/>
    <n v="3.25"/>
    <n v="0.1"/>
    <n v="0"/>
    <n v="10631.25"/>
    <n v="3.0769230769230771E-2"/>
    <n v="4.0625"/>
    <n v="10968.75"/>
    <e v="#N/A"/>
    <n v="0"/>
  </r>
  <r>
    <x v="1"/>
    <n v="255"/>
    <d v="2022-05-26T00:00:00"/>
    <n v="3375"/>
    <n v="1.45"/>
    <n v="0.05"/>
    <n v="0"/>
    <n v="4725"/>
    <n v="3.4482758620689655E-2"/>
    <n v="1.8125"/>
    <n v="4893.75"/>
    <n v="0"/>
    <n v="0"/>
  </r>
  <r>
    <x v="7"/>
    <n v="1640"/>
    <d v="2022-05-26T00:00:00"/>
    <n v="575"/>
    <n v="18.7"/>
    <n v="0.05"/>
    <n v="0"/>
    <n v="10723.75"/>
    <n v="2.6737967914438505E-3"/>
    <n v="23.375"/>
    <n v="10752.5"/>
    <e v="#N/A"/>
    <n v="0"/>
  </r>
  <r>
    <x v="7"/>
    <n v="1620"/>
    <d v="2022-05-26T00:00:00"/>
    <n v="575"/>
    <n v="23.3"/>
    <n v="0.05"/>
    <n v="0"/>
    <n v="13368.75"/>
    <n v="2.1459227467811159E-3"/>
    <n v="29.125"/>
    <n v="13397.5"/>
    <e v="#N/A"/>
    <n v="0"/>
  </r>
  <r>
    <x v="0"/>
    <m/>
    <d v="2022-06-30T00:00:00"/>
    <n v="50"/>
    <n v="15821.15"/>
    <n v="16578.95"/>
    <n v="0"/>
    <n v="37890.000000000058"/>
    <n v="1.0478979088119384"/>
    <n v="11865.862499999999"/>
    <n v="791057.5"/>
    <n v="0"/>
    <n v="791057.5"/>
  </r>
  <r>
    <x v="0"/>
    <n v="16500"/>
    <d v="2022-05-26T00:00:00"/>
    <n v="50"/>
    <n v="51.2"/>
    <n v="0.3"/>
    <n v="0"/>
    <n v="2545.0000000000005"/>
    <n v="5.8593749999999991E-3"/>
    <n v="64"/>
    <n v="2560"/>
    <e v="#N/A"/>
    <n v="0"/>
  </r>
  <r>
    <x v="0"/>
    <n v="16500"/>
    <d v="2022-05-26T00:00:00"/>
    <n v="50"/>
    <n v="52.4"/>
    <n v="0.3"/>
    <n v="0"/>
    <n v="2605"/>
    <n v="5.7251908396946565E-3"/>
    <n v="65.5"/>
    <n v="2620"/>
    <e v="#N/A"/>
    <n v="0"/>
  </r>
  <r>
    <x v="1"/>
    <m/>
    <d v="2022-06-30T00:00:00"/>
    <n v="3375"/>
    <n v="218.75"/>
    <n v="221.4"/>
    <n v="0"/>
    <n v="-8943.75000000002"/>
    <n v="1.0121142857142857"/>
    <n v="273.4375"/>
    <n v="738281.25"/>
    <e v="#N/A"/>
    <n v="-738281.25"/>
  </r>
  <r>
    <x v="3"/>
    <n v="410"/>
    <d v="2022-05-26T00:00:00"/>
    <n v="1425"/>
    <n v="10.35"/>
    <n v="19.7"/>
    <n v="0"/>
    <n v="-13323.75"/>
    <n v="1.9033816425120773"/>
    <n v="12.9375"/>
    <n v="14748.75"/>
    <n v="0"/>
    <n v="0"/>
  </r>
  <r>
    <x v="3"/>
    <n v="420"/>
    <d v="2022-05-26T00:00:00"/>
    <n v="1425"/>
    <n v="12.1"/>
    <n v="5.5"/>
    <n v="0"/>
    <n v="9405"/>
    <n v="0.45454545454545459"/>
    <n v="15.125"/>
    <n v="17242.5"/>
    <e v="#N/A"/>
    <n v="0"/>
  </r>
  <r>
    <x v="3"/>
    <n v="410"/>
    <d v="2022-05-26T00:00:00"/>
    <n v="1425"/>
    <n v="4.7"/>
    <n v="2.25"/>
    <n v="0"/>
    <n v="-3491.2500000000005"/>
    <n v="0.47872340425531912"/>
    <n v="3.5250000000000004"/>
    <n v="6697.5"/>
    <n v="0"/>
    <n v="0"/>
  </r>
  <r>
    <x v="3"/>
    <m/>
    <d v="2022-06-30T00:00:00"/>
    <n v="1425"/>
    <n v="426"/>
    <n v="441.15"/>
    <n v="0"/>
    <n v="21588.749999999967"/>
    <n v="1.0355633802816901"/>
    <n v="319.5"/>
    <n v="607050"/>
    <e v="#N/A"/>
    <n v="607050"/>
  </r>
  <r>
    <x v="8"/>
    <n v="3200"/>
    <d v="2022-05-26T00:00:00"/>
    <n v="200"/>
    <n v="24.6"/>
    <n v="0.8"/>
    <n v="0"/>
    <n v="4760"/>
    <n v="3.2520325203252029E-2"/>
    <n v="30.75"/>
    <n v="4920"/>
    <e v="#N/A"/>
    <n v="0"/>
  </r>
  <r>
    <x v="3"/>
    <m/>
    <d v="2022-05-26T00:00:00"/>
    <n v="1425"/>
    <n v="432.25"/>
    <n v="425.25"/>
    <n v="0"/>
    <n v="-9975"/>
    <n v="0.98380566801619429"/>
    <n v="324.1875"/>
    <n v="615956.25"/>
    <e v="#VALUE!"/>
    <n v="615956.25"/>
  </r>
  <r>
    <x v="10"/>
    <n v="880"/>
    <d v="2022-06-30T00:00:00"/>
    <n v="425"/>
    <n v="32"/>
    <n v="16"/>
    <n v="0"/>
    <n v="-6800"/>
    <n v="0.5"/>
    <n v="24"/>
    <n v="13600"/>
    <e v="#N/A"/>
    <n v="0"/>
  </r>
  <r>
    <x v="10"/>
    <n v="1100"/>
    <d v="2022-06-30T00:00:00"/>
    <n v="425"/>
    <n v="142.05000000000001"/>
    <n v="224.95"/>
    <n v="0"/>
    <n v="-35232.499999999993"/>
    <n v="1.5835973248856035"/>
    <n v="177.5625"/>
    <n v="60371.250000000007"/>
    <e v="#N/A"/>
    <n v="0"/>
  </r>
  <r>
    <x v="6"/>
    <n v="3500"/>
    <d v="2022-06-30T00:00:00"/>
    <n v="150"/>
    <n v="41.8"/>
    <n v="1.25"/>
    <n v="0"/>
    <n v="6082.5"/>
    <n v="2.9904306220095697E-2"/>
    <n v="52.25"/>
    <n v="6270"/>
    <e v="#N/A"/>
    <n v="0"/>
  </r>
  <r>
    <x v="3"/>
    <m/>
    <d v="2022-06-30T00:00:00"/>
    <n v="1425"/>
    <n v="426"/>
    <n v="441.15"/>
    <n v="0"/>
    <n v="21588.749999999967"/>
    <n v="1.0355633802816901"/>
    <n v="319.5"/>
    <n v="607050"/>
    <e v="#N/A"/>
    <n v="607050"/>
  </r>
  <r>
    <x v="6"/>
    <m/>
    <d v="2022-06-30T00:00:00"/>
    <n v="300"/>
    <n v="3325.9"/>
    <n v="3331.1"/>
    <n v="0"/>
    <n v="1559.9999999999454"/>
    <n v="1.0015634865750624"/>
    <n v="2494.4250000000002"/>
    <n v="997770"/>
    <e v="#N/A"/>
    <n v="997770"/>
  </r>
  <r>
    <x v="5"/>
    <n v="37000"/>
    <d v="2022-06-30T00:00:00"/>
    <n v="25"/>
    <n v="300.60000000000002"/>
    <n v="3.1"/>
    <n v="0"/>
    <n v="7437.5"/>
    <n v="1.0312707917498337E-2"/>
    <n v="375.75"/>
    <n v="7515.0000000000009"/>
    <e v="#N/A"/>
    <n v="0"/>
  </r>
  <r>
    <x v="7"/>
    <n v="1740"/>
    <d v="2022-06-30T00:00:00"/>
    <n v="575"/>
    <n v="20.5"/>
    <n v="0.1"/>
    <n v="0"/>
    <n v="11730"/>
    <n v="4.8780487804878049E-3"/>
    <n v="25.625"/>
    <n v="11787.5"/>
    <e v="#N/A"/>
    <n v="0"/>
  </r>
  <r>
    <x v="4"/>
    <n v="220"/>
    <d v="2022-06-30T00:00:00"/>
    <n v="3750"/>
    <n v="3.1"/>
    <n v="0.65"/>
    <n v="0"/>
    <n v="9187.5"/>
    <n v="0.20967741935483872"/>
    <n v="3.875"/>
    <n v="11625"/>
    <e v="#N/A"/>
    <n v="0"/>
  </r>
  <r>
    <x v="7"/>
    <m/>
    <d v="2022-07-28T00:00:00"/>
    <n v="300"/>
    <n v="1636.5"/>
    <n v="1643.9"/>
    <n v="2220.0000000000273"/>
    <n v="2220.0000000000273"/>
    <n v="1.0045218454017721"/>
    <n v="1227.375"/>
    <n v="490950"/>
    <e v="#N/A"/>
    <n v="490950"/>
  </r>
  <r>
    <x v="7"/>
    <m/>
    <d v="2022-07-28T00:00:00"/>
    <n v="300"/>
    <n v="1634"/>
    <n v="1655.6"/>
    <n v="6479.9999999999727"/>
    <n v="6479.9999999999727"/>
    <n v="1.0132190942472459"/>
    <n v="1225.5"/>
    <n v="490200"/>
    <e v="#N/A"/>
    <n v="490200"/>
  </r>
  <r>
    <x v="7"/>
    <m/>
    <d v="2022-07-28T00:00:00"/>
    <n v="300"/>
    <n v="1640"/>
    <n v="1655.6"/>
    <n v="4679.9999999999727"/>
    <n v="4679.9999999999727"/>
    <n v="1.0095121951219512"/>
    <n v="1230"/>
    <n v="492000"/>
    <e v="#N/A"/>
    <n v="492000"/>
  </r>
  <r>
    <x v="7"/>
    <m/>
    <d v="2022-07-28T00:00:00"/>
    <n v="300"/>
    <n v="1640"/>
    <n v="1655.6"/>
    <n v="4679.9999999999727"/>
    <n v="4679.9999999999727"/>
    <n v="1.0095121951219512"/>
    <n v="1230"/>
    <n v="492000"/>
    <e v="#N/A"/>
    <n v="492000"/>
  </r>
  <r>
    <x v="5"/>
    <n v="37000"/>
    <d v="2022-06-30T00:00:00"/>
    <n v="25"/>
    <n v="241.45"/>
    <n v="3.1"/>
    <n v="0"/>
    <n v="5958.75"/>
    <n v="1.283909712155726E-2"/>
    <n v="301.8125"/>
    <n v="6036.25"/>
    <e v="#N/A"/>
    <n v="0"/>
  </r>
  <r>
    <x v="5"/>
    <n v="37000"/>
    <d v="2022-06-30T00:00:00"/>
    <n v="25"/>
    <n v="216.05"/>
    <n v="3.1"/>
    <n v="0"/>
    <n v="5323.75"/>
    <n v="1.4348530432770191E-2"/>
    <n v="270.0625"/>
    <n v="5401.25"/>
    <e v="#N/A"/>
    <n v="0"/>
  </r>
  <r>
    <x v="0"/>
    <n v="16650"/>
    <d v="2022-06-30T00:00:00"/>
    <n v="150"/>
    <n v="213.8"/>
    <n v="2.5"/>
    <n v="0"/>
    <n v="31695"/>
    <n v="1.1693171188026192E-2"/>
    <n v="267.25"/>
    <n v="32070"/>
    <e v="#N/A"/>
    <n v="0"/>
  </r>
  <r>
    <x v="0"/>
    <n v="15500"/>
    <d v="2022-06-30T00:00:00"/>
    <n v="150"/>
    <n v="244.25"/>
    <n v="132.5"/>
    <n v="0"/>
    <n v="16762.5"/>
    <n v="0.5424769703172978"/>
    <n v="305.3125"/>
    <n v="36637.5"/>
    <e v="#N/A"/>
    <n v="0"/>
  </r>
  <r>
    <x v="0"/>
    <n v="17000"/>
    <d v="2022-06-30T00:00:00"/>
    <n v="100"/>
    <n v="119"/>
    <n v="1.35"/>
    <n v="0"/>
    <n v="11765"/>
    <n v="1.1344537815126052E-2"/>
    <n v="148.75"/>
    <n v="11900"/>
    <e v="#N/A"/>
    <n v="0"/>
  </r>
  <r>
    <x v="0"/>
    <n v="17000"/>
    <d v="2022-06-30T00:00:00"/>
    <n v="50"/>
    <n v="123.5"/>
    <n v="1.35"/>
    <n v="0"/>
    <n v="6107.5"/>
    <n v="1.0931174089068827E-2"/>
    <n v="154.375"/>
    <n v="6175"/>
    <e v="#N/A"/>
    <n v="0"/>
  </r>
  <r>
    <x v="3"/>
    <m/>
    <d v="2022-07-28T00:00:00"/>
    <n v="1425"/>
    <n v="428"/>
    <n v="437.6"/>
    <n v="13680.000000000033"/>
    <n v="13680.000000000033"/>
    <n v="1.0224299065420561"/>
    <n v="321"/>
    <n v="609900"/>
    <e v="#N/A"/>
    <n v="609900"/>
  </r>
  <r>
    <x v="11"/>
    <n v="620"/>
    <d v="2022-06-30T00:00:00"/>
    <n v="1350"/>
    <n v="10.4"/>
    <n v="3.85"/>
    <n v="0"/>
    <n v="8842.5000000000018"/>
    <n v="0.37019230769230771"/>
    <n v="13"/>
    <n v="14040"/>
    <e v="#N/A"/>
    <n v="0"/>
  </r>
  <r>
    <x v="11"/>
    <n v="450"/>
    <d v="2022-06-30T00:00:00"/>
    <n v="1350"/>
    <n v="8.15"/>
    <n v="0.85"/>
    <n v="0"/>
    <n v="9855.0000000000018"/>
    <n v="0.10429447852760736"/>
    <n v="10.1875"/>
    <n v="11002.5"/>
    <e v="#N/A"/>
    <n v="0"/>
  </r>
  <r>
    <x v="8"/>
    <n v="3200"/>
    <d v="2022-06-30T00:00:00"/>
    <n v="200"/>
    <n v="447.45"/>
    <n v="251"/>
    <n v="0"/>
    <n v="39290"/>
    <n v="0.56095653145602864"/>
    <n v="559.3125"/>
    <n v="89490"/>
    <n v="0"/>
    <n v="0"/>
  </r>
  <r>
    <x v="8"/>
    <n v="2800"/>
    <d v="2022-06-30T00:00:00"/>
    <n v="200"/>
    <n v="184.75"/>
    <n v="4.7"/>
    <n v="0"/>
    <n v="-36010"/>
    <n v="2.5439783491204331E-2"/>
    <n v="138.5625"/>
    <n v="36950"/>
    <e v="#N/A"/>
    <n v="0"/>
  </r>
  <r>
    <x v="6"/>
    <n v="3300"/>
    <d v="2022-06-30T00:00:00"/>
    <n v="150"/>
    <n v="157.9"/>
    <n v="175"/>
    <n v="0"/>
    <n v="-2564.9999999999991"/>
    <n v="1.1082963901203293"/>
    <n v="197.375"/>
    <n v="23685"/>
    <e v="#N/A"/>
    <n v="0"/>
  </r>
  <r>
    <x v="6"/>
    <n v="3150"/>
    <d v="2022-06-30T00:00:00"/>
    <n v="150"/>
    <n v="86.75"/>
    <n v="2.4500000000000002"/>
    <n v="0"/>
    <n v="-12645"/>
    <n v="2.8242074927953893E-2"/>
    <n v="65.0625"/>
    <n v="13012.5"/>
    <e v="#N/A"/>
    <n v="0"/>
  </r>
  <r>
    <x v="2"/>
    <n v="2400"/>
    <d v="2022-06-30T00:00:00"/>
    <n v="375"/>
    <n v="164"/>
    <n v="134.9"/>
    <n v="0"/>
    <n v="10912.499999999998"/>
    <n v="0.82256097560975616"/>
    <n v="205"/>
    <n v="61500"/>
    <e v="#N/A"/>
    <n v="0"/>
  </r>
  <r>
    <x v="2"/>
    <n v="2500"/>
    <d v="2022-06-30T00:00:00"/>
    <n v="375"/>
    <n v="40"/>
    <n v="1.75"/>
    <n v="0"/>
    <n v="14343.75"/>
    <n v="4.3749999999999997E-2"/>
    <n v="50"/>
    <n v="15000"/>
    <e v="#N/A"/>
    <n v="0"/>
  </r>
  <r>
    <x v="1"/>
    <n v="250"/>
    <d v="2022-06-30T00:00:00"/>
    <n v="3375"/>
    <n v="3.2"/>
    <n v="0.1"/>
    <n v="0"/>
    <n v="10462.5"/>
    <n v="3.125E-2"/>
    <n v="4"/>
    <n v="10800"/>
    <e v="#N/A"/>
    <n v="0"/>
  </r>
  <r>
    <x v="4"/>
    <n v="190"/>
    <d v="2022-06-30T00:00:00"/>
    <n v="3750"/>
    <n v="5.4"/>
    <n v="0"/>
    <n v="0"/>
    <n v="0"/>
    <n v="0"/>
    <n v="6.75"/>
    <n v="20250"/>
    <e v="#N/A"/>
    <n v="0"/>
  </r>
  <r>
    <x v="4"/>
    <n v="170"/>
    <d v="2022-06-30T00:00:00"/>
    <n v="3750"/>
    <n v="5.8"/>
    <n v="1.1000000000000001"/>
    <n v="0"/>
    <n v="-17624.999999999996"/>
    <n v="0.18965517241379312"/>
    <n v="4.3499999999999996"/>
    <n v="21750"/>
    <e v="#N/A"/>
    <n v="0"/>
  </r>
  <r>
    <x v="1"/>
    <n v="220"/>
    <d v="2022-06-30T00:00:00"/>
    <n v="3375"/>
    <n v="15.05"/>
    <n v="5.6"/>
    <n v="0"/>
    <n v="31893.750000000004"/>
    <n v="0.37209302325581389"/>
    <n v="18.8125"/>
    <n v="50793.75"/>
    <e v="#N/A"/>
    <n v="0"/>
  </r>
  <r>
    <x v="1"/>
    <n v="210"/>
    <d v="2022-06-30T00:00:00"/>
    <n v="3375"/>
    <n v="10"/>
    <n v="3.8"/>
    <n v="0"/>
    <n v="-20925"/>
    <n v="0.38"/>
    <n v="7.5"/>
    <n v="33750"/>
    <e v="#N/A"/>
    <n v="0"/>
  </r>
  <r>
    <x v="4"/>
    <n v="180"/>
    <d v="2022-06-30T00:00:00"/>
    <n v="3750"/>
    <n v="10.5"/>
    <n v="13.6"/>
    <n v="0"/>
    <n v="-11624.999999999998"/>
    <n v="1.2952380952380953"/>
    <n v="13.125"/>
    <n v="39375"/>
    <e v="#N/A"/>
    <n v="0"/>
  </r>
  <r>
    <x v="0"/>
    <n v="16000"/>
    <d v="2022-06-30T00:00:00"/>
    <n v="50"/>
    <n v="484"/>
    <n v="440"/>
    <n v="0"/>
    <n v="2200"/>
    <n v="0.90909090909090906"/>
    <n v="605"/>
    <n v="24200"/>
    <n v="0"/>
    <n v="0"/>
  </r>
  <r>
    <x v="3"/>
    <n v="450"/>
    <d v="2022-06-30T00:00:00"/>
    <n v="1425"/>
    <n v="7.85"/>
    <n v="0"/>
    <n v="0"/>
    <n v="0"/>
    <n v="0"/>
    <n v="9.8125"/>
    <n v="11186.25"/>
    <e v="#N/A"/>
    <n v="0"/>
  </r>
  <r>
    <x v="3"/>
    <n v="450"/>
    <d v="2022-06-30T00:00:00"/>
    <n v="1425"/>
    <n v="8.1"/>
    <n v="0"/>
    <n v="0"/>
    <n v="0"/>
    <n v="0"/>
    <n v="10.125"/>
    <n v="11542.5"/>
    <e v="#N/A"/>
    <n v="0"/>
  </r>
  <r>
    <x v="1"/>
    <n v="210"/>
    <d v="2022-06-30T00:00:00"/>
    <n v="3375"/>
    <n v="7.45"/>
    <n v="4.25"/>
    <n v="0"/>
    <n v="-10800"/>
    <n v="0.57046979865771807"/>
    <n v="5.5875000000000004"/>
    <n v="25143.75"/>
    <e v="#N/A"/>
    <n v="0"/>
  </r>
  <r>
    <x v="8"/>
    <n v="3000"/>
    <d v="2022-06-30T00:00:00"/>
    <n v="200"/>
    <n v="65.150000000000006"/>
    <n v="0"/>
    <n v="0"/>
    <n v="0"/>
    <n v="0"/>
    <n v="81.4375"/>
    <n v="13030.000000000002"/>
    <e v="#N/A"/>
    <n v="0"/>
  </r>
  <r>
    <x v="3"/>
    <n v="450"/>
    <d v="2022-06-30T00:00:00"/>
    <n v="1425"/>
    <n v="9.5"/>
    <n v="0"/>
    <n v="0"/>
    <n v="0"/>
    <n v="0"/>
    <n v="11.875"/>
    <n v="13537.5"/>
    <e v="#N/A"/>
    <n v="0"/>
  </r>
  <r>
    <x v="5"/>
    <n v="37000"/>
    <d v="2022-06-30T00:00:00"/>
    <n v="25"/>
    <n v="303.89999999999998"/>
    <n v="3.1"/>
    <n v="0"/>
    <n v="7519.9999999999991"/>
    <n v="1.0200723922342878E-2"/>
    <n v="379.875"/>
    <n v="7597.4999999999991"/>
    <e v="#N/A"/>
    <n v="0"/>
  </r>
  <r>
    <x v="5"/>
    <n v="37000"/>
    <d v="2022-06-30T00:00:00"/>
    <n v="25"/>
    <n v="350"/>
    <n v="3.1"/>
    <n v="0"/>
    <n v="8672.5"/>
    <n v="8.8571428571428568E-3"/>
    <n v="437.5"/>
    <n v="8750"/>
    <e v="#N/A"/>
    <n v="0"/>
  </r>
  <r>
    <x v="7"/>
    <n v="1660"/>
    <d v="2022-06-30T00:00:00"/>
    <n v="575"/>
    <n v="20.7"/>
    <n v="42.7"/>
    <n v="0"/>
    <n v="-12650.000000000002"/>
    <n v="2.06280193236715"/>
    <n v="25.875"/>
    <n v="11902.5"/>
    <e v="#N/A"/>
    <n v="0"/>
  </r>
  <r>
    <x v="4"/>
    <s v=" "/>
    <d v="2022-07-28T00:00:00"/>
    <n v="3750"/>
    <n v="179.05"/>
    <n v="181.2"/>
    <n v="8062.4999999999145"/>
    <n v="8062.4999999999145"/>
    <n v="1.0120078190449593"/>
    <n v="134.28750000000002"/>
    <n v="671437.5"/>
    <e v="#N/A"/>
    <n v="671437.5"/>
  </r>
  <r>
    <x v="5"/>
    <s v=" "/>
    <d v="2022-07-28T00:00:00"/>
    <n v="25"/>
    <n v="34640"/>
    <n v="35166.25"/>
    <n v="13156.25"/>
    <n v="13156.25"/>
    <n v="1.0151919745958429"/>
    <n v="25980"/>
    <n v="866000"/>
    <e v="#N/A"/>
    <n v="866000"/>
  </r>
  <r>
    <x v="0"/>
    <s v=" "/>
    <d v="2022-07-28T00:00:00"/>
    <n v="50"/>
    <n v="15956.85"/>
    <n v="0"/>
    <n v="0"/>
    <n v="0"/>
    <n v="0"/>
    <n v="11967.637500000001"/>
    <n v="797842.5"/>
    <e v="#N/A"/>
    <n v="797842.5"/>
  </r>
  <r>
    <x v="0"/>
    <n v="15500"/>
    <d v="2022-07-28T00:00:00"/>
    <n v="50"/>
    <n v="399.95"/>
    <n v="113.85"/>
    <n v="-14305.000000000002"/>
    <n v="-14305.000000000002"/>
    <n v="0.28466058257282162"/>
    <n v="299.96249999999998"/>
    <n v="19997.5"/>
    <e v="#N/A"/>
    <n v="0"/>
  </r>
  <r>
    <x v="1"/>
    <s v=" "/>
    <d v="2022-07-28T00:00:00"/>
    <n v="3375"/>
    <n v="214.95"/>
    <n v="234.5"/>
    <n v="65981.250000000044"/>
    <n v="65981.250000000044"/>
    <n v="1.0909513840428007"/>
    <n v="161.21249999999998"/>
    <n v="725456.25"/>
    <e v="#N/A"/>
    <n v="725456.25"/>
  </r>
  <r>
    <x v="3"/>
    <n v="400"/>
    <d v="2022-07-28T00:00:00"/>
    <n v="1425"/>
    <n v="22"/>
    <n v="9.0500000000000007"/>
    <n v="-18453.75"/>
    <n v="-18453.75"/>
    <n v="0.41136363636363638"/>
    <n v="16.5"/>
    <n v="31350"/>
    <e v="#N/A"/>
    <n v="0"/>
  </r>
  <r>
    <x v="6"/>
    <n v="3200"/>
    <d v="2022-07-28T00:00:00"/>
    <n v="150"/>
    <n v="123.85"/>
    <n v="0"/>
    <n v="0"/>
    <n v="0"/>
    <n v="0"/>
    <n v="92.887499999999989"/>
    <n v="18577.5"/>
    <e v="#N/A"/>
    <n v="0"/>
  </r>
  <r>
    <x v="4"/>
    <n v="170"/>
    <d v="2022-06-30T00:00:00"/>
    <n v="3750"/>
    <n v="4.45"/>
    <n v="1.1000000000000001"/>
    <n v="0"/>
    <n v="-12562.5"/>
    <n v="0.24719101123595508"/>
    <n v="3.3375000000000004"/>
    <n v="16687.5"/>
    <e v="#N/A"/>
    <n v="0"/>
  </r>
  <r>
    <x v="4"/>
    <n v="190"/>
    <d v="2022-06-30T00:00:00"/>
    <n v="3750"/>
    <n v="7.2"/>
    <n v="0"/>
    <n v="0"/>
    <n v="0"/>
    <n v="0"/>
    <n v="9"/>
    <n v="27000"/>
    <e v="#N/A"/>
    <n v="0"/>
  </r>
  <r>
    <x v="2"/>
    <n v="2300"/>
    <d v="2022-06-30T00:00:00"/>
    <n v="375"/>
    <n v="90.2"/>
    <n v="28"/>
    <n v="0"/>
    <n v="-23325"/>
    <n v="0.31042128603104213"/>
    <n v="67.650000000000006"/>
    <n v="33825"/>
    <e v="#N/A"/>
    <n v="0"/>
  </r>
  <r>
    <x v="5"/>
    <n v="34000"/>
    <d v="2022-07-28T00:00:00"/>
    <n v="50"/>
    <n v="810.1"/>
    <n v="0"/>
    <n v="0"/>
    <n v="0"/>
    <n v="0"/>
    <n v="607.57500000000005"/>
    <n v="40505"/>
    <e v="#N/A"/>
    <n v="0"/>
  </r>
  <r>
    <x v="5"/>
    <n v="37000"/>
    <d v="2022-07-28T00:00:00"/>
    <n v="50"/>
    <n v="762.3"/>
    <n v="71.400000000000006"/>
    <n v="34545"/>
    <n v="34545"/>
    <n v="9.3663911845730044E-2"/>
    <n v="952.875"/>
    <n v="38115"/>
    <e v="#N/A"/>
    <n v="0"/>
  </r>
  <r>
    <x v="5"/>
    <m/>
    <d v="2022-07-28T00:00:00"/>
    <n v="25"/>
    <n v="35580"/>
    <n v="35179.550000000003"/>
    <n v="-10011.249999999927"/>
    <n v="-10011.249999999927"/>
    <n v="0.98874508150646434"/>
    <n v="26685"/>
    <n v="889500"/>
    <e v="#N/A"/>
    <n v="889500"/>
  </r>
  <r>
    <x v="7"/>
    <n v="1680"/>
    <d v="2022-06-30T00:00:00"/>
    <n v="575"/>
    <n v="20"/>
    <n v="0.15"/>
    <n v="0"/>
    <n v="11413.75"/>
    <n v="7.4999999999999997E-3"/>
    <n v="25"/>
    <n v="11500"/>
    <e v="#N/A"/>
    <n v="0"/>
  </r>
  <r>
    <x v="3"/>
    <n v="460"/>
    <d v="2022-06-30T00:00:00"/>
    <n v="1425"/>
    <n v="10.199999999999999"/>
    <n v="0.3"/>
    <n v="0"/>
    <n v="14107.499999999998"/>
    <n v="2.9411764705882353E-2"/>
    <n v="12.75"/>
    <n v="14534.999999999998"/>
    <e v="#N/A"/>
    <n v="0"/>
  </r>
  <r>
    <x v="2"/>
    <n v="2500"/>
    <d v="2022-06-30T00:00:00"/>
    <n v="375"/>
    <n v="55"/>
    <n v="63.2"/>
    <n v="0"/>
    <n v="-3075.0000000000009"/>
    <n v="1.1490909090909092"/>
    <n v="68.75"/>
    <n v="20625"/>
    <e v="#N/A"/>
    <n v="0"/>
  </r>
  <r>
    <x v="1"/>
    <n v="250"/>
    <d v="2022-06-30T00:00:00"/>
    <n v="3375"/>
    <n v="3.3"/>
    <n v="0.1"/>
    <n v="0"/>
    <n v="10800"/>
    <n v="3.0303030303030307E-2"/>
    <n v="4.125"/>
    <n v="11137.5"/>
    <e v="#N/A"/>
    <n v="0"/>
  </r>
  <r>
    <x v="7"/>
    <n v="1560"/>
    <d v="2022-06-30T00:00:00"/>
    <n v="575"/>
    <n v="40.200000000000003"/>
    <n v="24.1"/>
    <n v="0"/>
    <n v="-9257.5"/>
    <n v="0.59950248756218905"/>
    <n v="30.150000000000002"/>
    <n v="23115"/>
    <e v="#N/A"/>
    <n v="0"/>
  </r>
  <r>
    <x v="7"/>
    <n v="1700"/>
    <d v="2022-06-30T00:00:00"/>
    <n v="575"/>
    <n v="14.1"/>
    <n v="0.15"/>
    <n v="0"/>
    <n v="8021.25"/>
    <n v="1.0638297872340425E-2"/>
    <n v="17.625"/>
    <n v="8107.5"/>
    <e v="#N/A"/>
    <n v="0"/>
  </r>
  <r>
    <x v="7"/>
    <n v="1660"/>
    <d v="2022-06-30T00:00:00"/>
    <n v="575"/>
    <n v="23.7"/>
    <n v="0.2"/>
    <n v="0"/>
    <n v="13512.5"/>
    <n v="8.4388185654008449E-3"/>
    <n v="29.625"/>
    <n v="13627.5"/>
    <e v="#N/A"/>
    <n v="0"/>
  </r>
  <r>
    <x v="0"/>
    <n v="17000"/>
    <d v="2022-06-30T00:00:00"/>
    <n v="50"/>
    <n v="119"/>
    <n v="1.35"/>
    <n v="0"/>
    <n v="5882.5"/>
    <n v="1.1344537815126052E-2"/>
    <n v="148.75"/>
    <n v="5950"/>
    <e v="#N/A"/>
    <n v="0"/>
  </r>
  <r>
    <x v="0"/>
    <n v="17000"/>
    <d v="2022-06-30T00:00:00"/>
    <n v="50"/>
    <n v="120"/>
    <n v="1.35"/>
    <n v="0"/>
    <n v="5932.5"/>
    <n v="1.1250000000000001E-2"/>
    <n v="150"/>
    <n v="6000"/>
    <e v="#N/A"/>
    <n v="0"/>
  </r>
  <r>
    <x v="0"/>
    <n v="15850"/>
    <d v="2022-06-30T00:00:00"/>
    <n v="50"/>
    <n v="206.25"/>
    <n v="429.4"/>
    <n v="0"/>
    <n v="-11157.499999999998"/>
    <n v="2.0819393939393938"/>
    <n v="257.8125"/>
    <n v="10312.5"/>
    <e v="#N/A"/>
    <n v="0"/>
  </r>
  <r>
    <x v="0"/>
    <n v="15800"/>
    <d v="2022-06-30T00:00:00"/>
    <n v="50"/>
    <n v="193.65"/>
    <n v="113.5"/>
    <n v="0"/>
    <n v="4007.5000000000005"/>
    <n v="0.58610895946294861"/>
    <n v="242.0625"/>
    <n v="9682.5"/>
    <e v="#N/A"/>
    <n v="0"/>
  </r>
  <r>
    <x v="0"/>
    <n v="15750"/>
    <d v="2022-06-30T00:00:00"/>
    <n v="50"/>
    <n v="179.9"/>
    <n v="92.25"/>
    <n v="0"/>
    <n v="4382.5"/>
    <n v="0.5127848804891606"/>
    <n v="224.875"/>
    <n v="8995"/>
    <e v="#N/A"/>
    <n v="0"/>
  </r>
  <r>
    <x v="3"/>
    <n v="470"/>
    <d v="2022-06-30T00:00:00"/>
    <n v="1425"/>
    <n v="7.05"/>
    <n v="0.25"/>
    <n v="0"/>
    <n v="9690"/>
    <n v="3.5460992907801421E-2"/>
    <n v="8.8125"/>
    <n v="10046.25"/>
    <e v="#N/A"/>
    <n v="0"/>
  </r>
  <r>
    <x v="3"/>
    <n v="400"/>
    <d v="2022-07-28T00:00:00"/>
    <n v="1425"/>
    <n v="15.4"/>
    <n v="9.0500000000000007"/>
    <n v="-9048.75"/>
    <n v="-9048.75"/>
    <n v="0.58766233766233766"/>
    <n v="11.55"/>
    <n v="21945"/>
    <e v="#N/A"/>
    <n v="0"/>
  </r>
  <r>
    <x v="8"/>
    <n v="3200"/>
    <d v="2022-06-30T00:00:00"/>
    <n v="200"/>
    <n v="37.35"/>
    <n v="0"/>
    <n v="0"/>
    <n v="0"/>
    <n v="0"/>
    <n v="46.6875"/>
    <n v="7470"/>
    <e v="#N/A"/>
    <n v="0"/>
  </r>
  <r>
    <x v="6"/>
    <s v=" "/>
    <d v="2022-07-28T00:00:00"/>
    <n v="300"/>
    <n v="3338.63"/>
    <n v="0"/>
    <n v="0"/>
    <n v="0"/>
    <n v="0"/>
    <n v="2503.9724999999999"/>
    <n v="1001589"/>
    <e v="#N/A"/>
    <n v="1001589"/>
  </r>
  <r>
    <x v="5"/>
    <m/>
    <d v="2022-07-28T00:00:00"/>
    <n v="25"/>
    <n v="36161.449999999997"/>
    <n v="35179.550000000003"/>
    <n v="-24547.499999999854"/>
    <n v="-24547.499999999854"/>
    <n v="0.97284677467302905"/>
    <n v="27121.087499999998"/>
    <n v="904036.24999999988"/>
    <e v="#N/A"/>
    <n v="904036.24999999988"/>
  </r>
  <r>
    <x v="0"/>
    <s v=" "/>
    <d v="2022-07-28T00:00:00"/>
    <n v="100"/>
    <n v="16585.45"/>
    <n v="0"/>
    <n v="0"/>
    <n v="0"/>
    <n v="0"/>
    <n v="12439.087500000001"/>
    <n v="1658545"/>
    <e v="#N/A"/>
    <n v="1658545"/>
  </r>
  <r>
    <x v="2"/>
    <n v="2300"/>
    <d v="2022-06-30T00:00:00"/>
    <n v="375"/>
    <n v="50"/>
    <n v="31"/>
    <n v="0"/>
    <n v="-7125"/>
    <n v="0.62"/>
    <n v="37.5"/>
    <n v="18750"/>
    <e v="#N/A"/>
    <n v="0"/>
  </r>
  <r>
    <x v="7"/>
    <n v="1600"/>
    <d v="2022-07-28T00:00:00"/>
    <n v="300"/>
    <n v="56.5"/>
    <n v="15.4"/>
    <n v="-12330"/>
    <n v="-12330"/>
    <n v="0.27256637168141595"/>
    <n v="42.375"/>
    <n v="16950"/>
    <e v="#N/A"/>
    <n v="0"/>
  </r>
  <r>
    <x v="6"/>
    <n v="3200"/>
    <d v="2022-07-28T00:00:00"/>
    <n v="150"/>
    <n v="69.25"/>
    <n v="0"/>
    <n v="0"/>
    <n v="0"/>
    <n v="0"/>
    <n v="51.9375"/>
    <n v="10387.5"/>
    <e v="#N/A"/>
    <n v="0"/>
  </r>
  <r>
    <x v="3"/>
    <s v=" "/>
    <d v="2022-07-28T00:00:00"/>
    <n v="2850"/>
    <n v="442"/>
    <n v="438"/>
    <n v="-11400"/>
    <n v="-11400"/>
    <n v="0.99095022624434392"/>
    <n v="331.5"/>
    <n v="1259700"/>
    <e v="#N/A"/>
    <n v="1259700"/>
  </r>
  <r>
    <x v="3"/>
    <n v="400"/>
    <d v="2022-07-28T00:00:00"/>
    <n v="1425"/>
    <n v="11.45"/>
    <n v="9.0500000000000007"/>
    <n v="-3419.9999999999982"/>
    <n v="-3419.9999999999982"/>
    <n v="0.79039301310043675"/>
    <n v="8.5874999999999986"/>
    <n v="16316.249999999998"/>
    <e v="#N/A"/>
    <n v="0"/>
  </r>
  <r>
    <x v="1"/>
    <n v="235"/>
    <d v="2022-06-30T00:00:00"/>
    <n v="3375"/>
    <n v="12.7"/>
    <n v="26.95"/>
    <n v="0"/>
    <n v="-48093.75"/>
    <n v="2.1220472440944884"/>
    <n v="15.875"/>
    <n v="42862.5"/>
    <e v="#N/A"/>
    <n v="0"/>
  </r>
  <r>
    <x v="7"/>
    <n v="1600"/>
    <d v="2022-07-28T00:00:00"/>
    <n v="300"/>
    <n v="45"/>
    <n v="15.4"/>
    <n v="-8880"/>
    <n v="-8880"/>
    <n v="0.34222222222222221"/>
    <n v="33.75"/>
    <n v="13500"/>
    <e v="#N/A"/>
    <n v="0"/>
  </r>
  <r>
    <x v="7"/>
    <n v="1680"/>
    <d v="2022-06-30T00:00:00"/>
    <n v="575"/>
    <n v="33"/>
    <n v="0.15"/>
    <n v="0"/>
    <n v="18888.75"/>
    <n v="4.5454545454545452E-3"/>
    <n v="41.25"/>
    <n v="18975"/>
    <e v="#N/A"/>
    <n v="0"/>
  </r>
  <r>
    <x v="0"/>
    <n v="17000"/>
    <d v="2022-06-30T00:00:00"/>
    <n v="50"/>
    <n v="186"/>
    <n v="1.35"/>
    <n v="0"/>
    <n v="9232.5"/>
    <n v="7.2580645161290326E-3"/>
    <n v="232.5"/>
    <n v="9300"/>
    <e v="#N/A"/>
    <n v="0"/>
  </r>
  <r>
    <x v="6"/>
    <n v="3500"/>
    <d v="2022-06-30T00:00:00"/>
    <n v="150"/>
    <n v="36.549999999999997"/>
    <n v="1.45"/>
    <n v="0"/>
    <n v="5264.9999999999991"/>
    <n v="3.9671682626538987E-2"/>
    <n v="45.6875"/>
    <n v="5482.5"/>
    <e v="#N/A"/>
    <n v="0"/>
  </r>
  <r>
    <x v="2"/>
    <s v=" "/>
    <d v="2022-07-28T00:00:00"/>
    <n v="375"/>
    <n v="2470"/>
    <n v="0"/>
    <n v="0"/>
    <n v="0"/>
    <n v="0"/>
    <n v="1852.5"/>
    <n v="926250"/>
    <e v="#N/A"/>
    <n v="926250"/>
  </r>
  <r>
    <x v="1"/>
    <s v=" "/>
    <d v="2022-07-28T00:00:00"/>
    <n v="3375"/>
    <n v="235.4"/>
    <n v="0"/>
    <n v="0"/>
    <n v="0"/>
    <n v="0"/>
    <n v="176.55"/>
    <n v="794475"/>
    <e v="#N/A"/>
    <n v="794475"/>
  </r>
  <r>
    <x v="12"/>
    <s v=" "/>
    <d v="2022-07-28T00:00:00"/>
    <n v="300"/>
    <n v="2197.4"/>
    <n v="2394.3000000000002"/>
    <n v="59070.000000000029"/>
    <n v="59070.000000000029"/>
    <n v="1.0896058978793119"/>
    <n v="1648.0500000000002"/>
    <n v="659220"/>
    <e v="#N/A"/>
    <n v="659220"/>
  </r>
  <r>
    <x v="12"/>
    <n v="2160"/>
    <d v="2022-06-30T00:00:00"/>
    <n v="300"/>
    <n v="39.799999999999997"/>
    <n v="1.1499999999999999"/>
    <n v="0"/>
    <n v="-11595"/>
    <n v="2.8894472361809045E-2"/>
    <n v="29.849999999999998"/>
    <n v="11940"/>
    <e v="#N/A"/>
    <n v="0"/>
  </r>
  <r>
    <x v="4"/>
    <s v=" "/>
    <d v="2022-07-28T00:00:00"/>
    <n v="3750"/>
    <n v="184"/>
    <n v="184.1"/>
    <n v="374.99999999997868"/>
    <n v="374.99999999997868"/>
    <n v="1.0005434782608695"/>
    <n v="138"/>
    <n v="690000"/>
    <e v="#N/A"/>
    <n v="690000"/>
  </r>
  <r>
    <x v="4"/>
    <n v="190"/>
    <d v="2022-06-30T00:00:00"/>
    <n v="3750"/>
    <n v="5.65"/>
    <n v="0"/>
    <n v="0"/>
    <n v="0"/>
    <n v="0"/>
    <n v="7.0625"/>
    <n v="21187.5"/>
    <e v="#N/A"/>
    <n v="0"/>
  </r>
  <r>
    <x v="0"/>
    <n v="15800"/>
    <d v="2022-06-30T00:00:00"/>
    <n v="50"/>
    <n v="135"/>
    <n v="113.5"/>
    <n v="0"/>
    <n v="1075"/>
    <n v="0.84074074074074079"/>
    <n v="168.75"/>
    <n v="6750"/>
    <e v="#N/A"/>
    <n v="0"/>
  </r>
  <r>
    <x v="0"/>
    <n v="15800"/>
    <d v="2022-06-30T00:00:00"/>
    <n v="50"/>
    <n v="139"/>
    <n v="100.1"/>
    <n v="0"/>
    <n v="1945.0000000000002"/>
    <n v="0.72014388489208625"/>
    <n v="173.75"/>
    <n v="6950"/>
    <e v="#N/A"/>
    <n v="0"/>
  </r>
  <r>
    <x v="0"/>
    <n v="15750"/>
    <d v="2022-06-30T00:00:00"/>
    <n v="50"/>
    <n v="125"/>
    <n v="84.2"/>
    <n v="0"/>
    <n v="2039.9999999999998"/>
    <n v="0.67359999999999998"/>
    <n v="156.25"/>
    <n v="6250"/>
    <e v="#N/A"/>
    <n v="0"/>
  </r>
  <r>
    <x v="4"/>
    <s v=" "/>
    <d v="2022-07-28T00:00:00"/>
    <n v="3750"/>
    <n v="178"/>
    <n v="0"/>
    <n v="0"/>
    <n v="0"/>
    <n v="0"/>
    <n v="133.5"/>
    <n v="667500"/>
    <e v="#N/A"/>
    <n v="667500"/>
  </r>
  <r>
    <x v="5"/>
    <s v=" "/>
    <d v="2022-07-28T00:00:00"/>
    <n v="25"/>
    <n v="33459.4"/>
    <n v="32586"/>
    <n v="-21835.000000000036"/>
    <n v="-21835.000000000036"/>
    <n v="0.97389672259514515"/>
    <n v="25094.550000000003"/>
    <n v="836485"/>
    <e v="#N/A"/>
    <n v="836485"/>
  </r>
  <r>
    <x v="0"/>
    <s v=" "/>
    <d v="2022-07-28T00:00:00"/>
    <n v="50"/>
    <n v="15814.65"/>
    <n v="15275"/>
    <n v="-26982.499999999982"/>
    <n v="-26982.499999999982"/>
    <n v="0.96587657646549241"/>
    <n v="11860.987499999999"/>
    <n v="790732.5"/>
    <e v="#N/A"/>
    <n v="790732.5"/>
  </r>
  <r>
    <x v="2"/>
    <n v="2500"/>
    <d v="2022-07-28T00:00:00"/>
    <n v="375"/>
    <n v="35"/>
    <n v="0"/>
    <n v="0"/>
    <n v="0"/>
    <n v="0"/>
    <n v="43.75"/>
    <n v="13125"/>
    <e v="#N/A"/>
    <n v="0"/>
  </r>
  <r>
    <x v="3"/>
    <n v="460"/>
    <d v="2022-07-28T00:00:00"/>
    <n v="1425"/>
    <n v="6.3"/>
    <n v="0"/>
    <n v="0"/>
    <n v="0"/>
    <n v="0"/>
    <n v="7.875"/>
    <n v="8977.5"/>
    <e v="#N/A"/>
    <n v="0"/>
  </r>
  <r>
    <x v="1"/>
    <n v="235"/>
    <d v="2022-07-28T00:00:00"/>
    <n v="3375"/>
    <n v="2.7"/>
    <n v="0"/>
    <n v="0"/>
    <n v="0"/>
    <n v="0"/>
    <n v="3.375"/>
    <n v="9112.5"/>
    <e v="#N/A"/>
    <n v="0"/>
  </r>
  <r>
    <x v="0"/>
    <n v="16650"/>
    <d v="2022-07-28T00:00:00"/>
    <n v="50"/>
    <n v="91.8"/>
    <n v="0"/>
    <n v="0"/>
    <n v="0"/>
    <n v="0"/>
    <n v="114.75"/>
    <n v="4590"/>
    <e v="#N/A"/>
    <n v="0"/>
  </r>
  <r>
    <x v="12"/>
    <n v="2440"/>
    <d v="2022-07-28T00:00:00"/>
    <n v="300"/>
    <n v="24.1"/>
    <n v="0"/>
    <n v="0"/>
    <n v="0"/>
    <n v="0"/>
    <n v="30.125"/>
    <n v="7230"/>
    <e v="#N/A"/>
    <n v="0"/>
  </r>
  <r>
    <x v="12"/>
    <n v="2300"/>
    <d v="2022-07-28T00:00:00"/>
    <n v="300"/>
    <n v="55.25"/>
    <n v="25.05"/>
    <n v="-9060"/>
    <n v="-9060"/>
    <n v="0.45339366515837104"/>
    <n v="41.4375"/>
    <n v="16575"/>
    <e v="#N/A"/>
    <n v="0"/>
  </r>
  <r>
    <x v="3"/>
    <n v="450"/>
    <d v="2022-07-28T00:00:00"/>
    <n v="1425"/>
    <n v="7.8"/>
    <n v="0"/>
    <n v="0"/>
    <n v="0"/>
    <n v="0"/>
    <n v="9.75"/>
    <n v="11115"/>
    <e v="#N/A"/>
    <n v="0"/>
  </r>
  <r>
    <x v="4"/>
    <n v="190"/>
    <d v="2022-07-28T00:00:00"/>
    <n v="3750"/>
    <n v="3.35"/>
    <n v="0.75"/>
    <n v="9750"/>
    <n v="9750"/>
    <n v="0.22388059701492538"/>
    <n v="4.1875"/>
    <n v="12562.5"/>
    <e v="#N/A"/>
    <n v="0"/>
  </r>
  <r>
    <x v="3"/>
    <n v="450"/>
    <d v="2022-07-28T00:00:00"/>
    <n v="1425"/>
    <n v="7.4"/>
    <n v="0"/>
    <n v="0"/>
    <n v="0"/>
    <n v="0"/>
    <n v="9.25"/>
    <n v="10545"/>
    <e v="#N/A"/>
    <n v="0"/>
  </r>
  <r>
    <x v="0"/>
    <n v="16500"/>
    <d v="2022-07-28T00:00:00"/>
    <n v="100"/>
    <n v="95"/>
    <n v="0"/>
    <n v="0"/>
    <n v="0"/>
    <n v="0"/>
    <n v="118.75"/>
    <n v="9500"/>
    <e v="#N/A"/>
    <n v="0"/>
  </r>
  <r>
    <x v="2"/>
    <n v="2300"/>
    <d v="2022-07-28T00:00:00"/>
    <n v="375"/>
    <n v="105.05"/>
    <n v="0"/>
    <n v="0"/>
    <n v="0"/>
    <n v="0"/>
    <n v="78.787499999999994"/>
    <n v="39393.75"/>
    <e v="#N/A"/>
    <n v="0"/>
  </r>
  <r>
    <x v="2"/>
    <n v="2400"/>
    <d v="2022-07-28T00:00:00"/>
    <n v="375"/>
    <n v="50"/>
    <n v="0"/>
    <n v="0"/>
    <n v="0"/>
    <n v="0"/>
    <n v="62.5"/>
    <n v="18750"/>
    <e v="#N/A"/>
    <n v="0"/>
  </r>
  <r>
    <x v="5"/>
    <n v="35000"/>
    <d v="2022-07-28T00:00:00"/>
    <n v="25"/>
    <n v="374.95"/>
    <n v="0"/>
    <n v="0"/>
    <n v="0"/>
    <n v="0"/>
    <n v="468.6875"/>
    <n v="9373.75"/>
    <e v="#N/A"/>
    <n v="0"/>
  </r>
  <r>
    <x v="5"/>
    <n v="35000"/>
    <d v="2022-07-28T00:00:00"/>
    <n v="25"/>
    <n v="383"/>
    <n v="0"/>
    <n v="0"/>
    <n v="0"/>
    <n v="0"/>
    <n v="478.75"/>
    <n v="9575"/>
    <e v="#N/A"/>
    <n v="0"/>
  </r>
  <r>
    <x v="7"/>
    <n v="1640"/>
    <d v="2022-07-28T00:00:00"/>
    <n v="300"/>
    <n v="10.6"/>
    <n v="0"/>
    <n v="0"/>
    <n v="0"/>
    <n v="0"/>
    <n v="13.25"/>
    <n v="3180"/>
    <e v="#N/A"/>
    <n v="0"/>
  </r>
  <r>
    <x v="1"/>
    <n v="230"/>
    <d v="2022-07-28T00:00:00"/>
    <n v="3375"/>
    <n v="2.7"/>
    <n v="0"/>
    <n v="0"/>
    <n v="0"/>
    <n v="0"/>
    <n v="3.375"/>
    <n v="9112.5"/>
    <e v="#N/A"/>
    <n v="0"/>
  </r>
  <r>
    <x v="1"/>
    <n v="230"/>
    <d v="2022-07-28T00:00:00"/>
    <n v="3375"/>
    <n v="2.7"/>
    <n v="0"/>
    <n v="0"/>
    <n v="0"/>
    <n v="0"/>
    <n v="3.375"/>
    <n v="9112.5"/>
    <e v="#N/A"/>
    <n v="0"/>
  </r>
  <r>
    <x v="1"/>
    <n v="210"/>
    <d v="2022-07-28T00:00:00"/>
    <n v="3375"/>
    <n v="10.3"/>
    <n v="0"/>
    <n v="0"/>
    <n v="0"/>
    <n v="0"/>
    <n v="7.7250000000000005"/>
    <n v="34762.5"/>
    <e v="#N/A"/>
    <n v="0"/>
  </r>
  <r>
    <x v="5"/>
    <n v="36000"/>
    <d v="2022-07-28T00:00:00"/>
    <n v="25"/>
    <n v="171.45"/>
    <n v="0"/>
    <n v="0"/>
    <n v="0"/>
    <n v="0"/>
    <n v="214.3125"/>
    <n v="4286.25"/>
    <e v="#N/A"/>
    <n v="0"/>
  </r>
  <r>
    <x v="7"/>
    <n v="1540"/>
    <d v="2022-07-28T00:00:00"/>
    <n v="300"/>
    <n v="53"/>
    <n v="5.7"/>
    <n v="-14190"/>
    <n v="-14190"/>
    <n v="0.10754716981132076"/>
    <n v="39.75"/>
    <n v="15900"/>
    <e v="#N/A"/>
    <n v="0"/>
  </r>
  <r>
    <x v="7"/>
    <n v="1560"/>
    <d v="2022-07-28T00:00:00"/>
    <n v="300"/>
    <n v="63.75"/>
    <n v="8.9"/>
    <n v="-16455"/>
    <n v="-16455"/>
    <n v="0.13960784313725491"/>
    <n v="47.8125"/>
    <n v="19125"/>
    <e v="#N/A"/>
    <n v="0"/>
  </r>
  <r>
    <x v="7"/>
    <n v="1640"/>
    <d v="2022-07-28T00:00:00"/>
    <n v="300"/>
    <n v="12.3"/>
    <n v="0"/>
    <n v="0"/>
    <n v="0"/>
    <n v="0"/>
    <n v="15.375"/>
    <n v="3690"/>
    <e v="#N/A"/>
    <n v="0"/>
  </r>
  <r>
    <x v="0"/>
    <n v="16500"/>
    <d v="2022-07-28T00:00:00"/>
    <n v="50"/>
    <n v="106"/>
    <n v="0"/>
    <n v="0"/>
    <n v="0"/>
    <n v="0"/>
    <n v="132.5"/>
    <n v="5300"/>
    <e v="#N/A"/>
    <n v="0"/>
  </r>
  <r>
    <x v="6"/>
    <n v="3500"/>
    <d v="2022-07-28T00:00:00"/>
    <n v="150"/>
    <n v="31.4"/>
    <n v="0"/>
    <n v="0"/>
    <n v="0"/>
    <n v="0"/>
    <n v="39.25"/>
    <n v="4710"/>
    <e v="#N/A"/>
    <n v="0"/>
  </r>
  <r>
    <x v="5"/>
    <n v="35000"/>
    <d v="2022-07-28T00:00:00"/>
    <n v="25"/>
    <n v="396"/>
    <n v="0"/>
    <n v="0"/>
    <n v="0"/>
    <n v="0"/>
    <n v="495"/>
    <n v="9900"/>
    <e v="#N/A"/>
    <n v="0"/>
  </r>
  <r>
    <x v="0"/>
    <n v="16600"/>
    <d v="2022-07-28T00:00:00"/>
    <n v="50"/>
    <n v="91.95"/>
    <n v="0"/>
    <n v="0"/>
    <n v="0"/>
    <n v="0"/>
    <n v="114.9375"/>
    <n v="4597.5"/>
    <e v="#N/A"/>
    <n v="0"/>
  </r>
  <r>
    <x v="0"/>
    <n v="16600"/>
    <d v="2022-07-28T00:00:00"/>
    <n v="50"/>
    <n v="94.75"/>
    <n v="0"/>
    <n v="0"/>
    <n v="0"/>
    <n v="0"/>
    <n v="118.4375"/>
    <n v="4737.5"/>
    <e v="#N/A"/>
    <n v="0"/>
  </r>
  <r>
    <x v="9"/>
    <m/>
    <d v="2022-07-28T00:00:00"/>
    <n v="1600"/>
    <n v="369"/>
    <n v="0"/>
    <n v="0"/>
    <n v="0"/>
    <n v="0"/>
    <n v="276.75"/>
    <n v="590400"/>
    <e v="#N/A"/>
    <n v="590400"/>
  </r>
  <r>
    <x v="9"/>
    <n v="400"/>
    <d v="2022-07-28T00:00:00"/>
    <n v="1600"/>
    <n v="8.8000000000000007"/>
    <n v="0"/>
    <n v="0"/>
    <n v="0"/>
    <n v="0"/>
    <n v="11"/>
    <n v="14080.000000000002"/>
    <e v="#N/A"/>
    <n v="0"/>
  </r>
  <r>
    <x v="9"/>
    <n v="400"/>
    <d v="2022-07-28T00:00:00"/>
    <n v="1600"/>
    <n v="8.8000000000000007"/>
    <n v="0"/>
    <n v="0"/>
    <n v="0"/>
    <n v="0"/>
    <n v="11"/>
    <n v="14080.000000000002"/>
    <e v="#N/A"/>
    <n v="0"/>
  </r>
  <r>
    <x v="9"/>
    <n v="370"/>
    <d v="2022-07-28T00:00:00"/>
    <n v="1600"/>
    <n v="21.15"/>
    <n v="0"/>
    <n v="0"/>
    <n v="0"/>
    <n v="0"/>
    <n v="15.862499999999999"/>
    <n v="33840"/>
    <e v="#N/A"/>
    <n v="0"/>
  </r>
  <r>
    <x v="6"/>
    <n v="3500"/>
    <d v="2022-07-28T00:00:00"/>
    <n v="150"/>
    <n v="34.65"/>
    <n v="0"/>
    <n v="0"/>
    <n v="0"/>
    <n v="0"/>
    <n v="43.3125"/>
    <n v="5197.5"/>
    <e v="#N/A"/>
    <n v="0"/>
  </r>
  <r>
    <x v="3"/>
    <n v="460"/>
    <d v="2022-07-28T00:00:00"/>
    <n v="1425"/>
    <n v="5.9"/>
    <n v="0"/>
    <n v="0"/>
    <n v="0"/>
    <n v="0"/>
    <n v="7.375"/>
    <n v="8407.5"/>
    <e v="#N/A"/>
    <n v="0"/>
  </r>
  <r>
    <x v="0"/>
    <n v="16600"/>
    <d v="2022-07-28T00:00:00"/>
    <n v="50"/>
    <n v="80"/>
    <n v="0"/>
    <n v="0"/>
    <n v="0"/>
    <n v="0"/>
    <n v="100"/>
    <n v="4000"/>
    <e v="#N/A"/>
    <n v="0"/>
  </r>
  <r>
    <x v="0"/>
    <n v="16500"/>
    <d v="2022-07-28T00:00:00"/>
    <n v="50"/>
    <n v="101.25"/>
    <n v="0"/>
    <n v="0"/>
    <n v="0"/>
    <n v="0"/>
    <n v="126.5625"/>
    <n v="5062.5"/>
    <e v="#N/A"/>
    <n v="0"/>
  </r>
  <r>
    <x v="5"/>
    <n v="35000"/>
    <d v="2022-07-28T00:00:00"/>
    <n v="25"/>
    <n v="276.10000000000002"/>
    <n v="0"/>
    <n v="0"/>
    <n v="0"/>
    <n v="0"/>
    <n v="345.125"/>
    <n v="6902.5000000000009"/>
    <e v="#N/A"/>
    <n v="0"/>
  </r>
  <r>
    <x v="0"/>
    <n v="16100"/>
    <d v="2022-07-07T00:00:00"/>
    <n v="50"/>
    <n v="55.4"/>
    <n v="0"/>
    <n v="0"/>
    <n v="0"/>
    <n v="0"/>
    <n v="69.25"/>
    <n v="2770"/>
    <e v="#N/A"/>
    <n v="0"/>
  </r>
  <r>
    <x v="3"/>
    <n v="440"/>
    <d v="2022-07-28T00:00:00"/>
    <n v="1425"/>
    <n v="7.4"/>
    <n v="0"/>
    <n v="0"/>
    <n v="0"/>
    <n v="0"/>
    <n v="9.25"/>
    <n v="10545"/>
    <e v="#N/A"/>
    <n v="0"/>
  </r>
  <r>
    <x v="3"/>
    <n v="450"/>
    <d v="2022-07-28T00:00:00"/>
    <n v="1425"/>
    <n v="5.15"/>
    <n v="0"/>
    <n v="0"/>
    <n v="0"/>
    <n v="0"/>
    <n v="6.4375"/>
    <n v="7338.7500000000009"/>
    <e v="#N/A"/>
    <n v="0"/>
  </r>
  <r>
    <x v="12"/>
    <n v="2360"/>
    <d v="2022-07-28T00:00:00"/>
    <n v="300"/>
    <n v="46.05"/>
    <n v="0"/>
    <n v="0"/>
    <n v="0"/>
    <n v="0"/>
    <n v="34.537499999999994"/>
    <n v="13815"/>
    <e v="#N/A"/>
    <n v="0"/>
  </r>
  <r>
    <x v="3"/>
    <n v="410"/>
    <d v="2022-07-28T00:00:00"/>
    <n v="1425"/>
    <n v="12.95"/>
    <n v="0"/>
    <n v="0"/>
    <n v="0"/>
    <n v="0"/>
    <n v="9.7124999999999986"/>
    <n v="18453.75"/>
    <e v="#N/A"/>
    <n v="0"/>
  </r>
  <r>
    <x v="12"/>
    <n v="2480"/>
    <d v="2022-07-28T00:00:00"/>
    <n v="300"/>
    <n v="23.65"/>
    <n v="0"/>
    <n v="0"/>
    <n v="0"/>
    <n v="0"/>
    <n v="29.5625"/>
    <n v="7095"/>
    <e v="#N/A"/>
    <n v="0"/>
  </r>
  <r>
    <x v="12"/>
    <s v=" "/>
    <d v="2022-08-25T00:00:00"/>
    <n v="300"/>
    <n v="2401.6"/>
    <n v="0"/>
    <n v="0"/>
    <n v="0"/>
    <n v="0"/>
    <n v="1801.1999999999998"/>
    <n v="720480"/>
    <e v="#N/A"/>
    <n v="720480"/>
  </r>
  <r>
    <x v="4"/>
    <n v="175"/>
    <d v="2022-07-28T00:00:00"/>
    <n v="3750"/>
    <n v="2.4500000000000002"/>
    <n v="0"/>
    <n v="0"/>
    <n v="0"/>
    <n v="0"/>
    <n v="3.0625"/>
    <n v="9187.5"/>
    <e v="#N/A"/>
    <n v="0"/>
  </r>
  <r>
    <x v="3"/>
    <n v="410"/>
    <d v="2022-07-28T00:00:00"/>
    <n v="1425"/>
    <n v="12.95"/>
    <n v="0"/>
    <n v="0"/>
    <n v="0"/>
    <n v="0"/>
    <n v="9.7124999999999986"/>
    <n v="18453.75"/>
    <e v="#N/A"/>
    <n v="0"/>
  </r>
  <r>
    <x v="3"/>
    <n v="410"/>
    <d v="2022-07-28T00:00:00"/>
    <n v="1425"/>
    <n v="12.95"/>
    <n v="0"/>
    <n v="0"/>
    <n v="0"/>
    <n v="0"/>
    <n v="9.7124999999999986"/>
    <n v="18453.75"/>
    <e v="#N/A"/>
    <n v="0"/>
  </r>
  <r>
    <x v="2"/>
    <n v="2300"/>
    <d v="2022-07-28T00:00:00"/>
    <n v="375"/>
    <n v="31.2"/>
    <n v="0"/>
    <n v="0"/>
    <n v="0"/>
    <n v="0"/>
    <n v="39"/>
    <n v="11700"/>
    <e v="#N/A"/>
    <n v="0"/>
  </r>
  <r>
    <x v="0"/>
    <n v="16100"/>
    <d v="2022-07-07T00:00:00"/>
    <n v="50"/>
    <n v="60"/>
    <n v="0"/>
    <n v="0"/>
    <n v="0"/>
    <n v="0"/>
    <n v="75"/>
    <n v="3000"/>
    <e v="#N/A"/>
    <n v="0"/>
  </r>
  <r>
    <x v="1"/>
    <n v="235"/>
    <d v="2022-07-28T00:00:00"/>
    <n v="3375"/>
    <n v="2.4500000000000002"/>
    <n v="0"/>
    <n v="0"/>
    <n v="0"/>
    <n v="0"/>
    <n v="3.0625"/>
    <n v="8268.75"/>
    <e v="#N/A"/>
    <n v="0"/>
  </r>
  <r>
    <x v="2"/>
    <n v="2300"/>
    <d v="2022-07-28T00:00:00"/>
    <n v="375"/>
    <n v="31.5"/>
    <n v="0"/>
    <n v="0"/>
    <n v="0"/>
    <n v="0"/>
    <n v="39.375"/>
    <n v="11812.5"/>
    <e v="#N/A"/>
    <n v="0"/>
  </r>
  <r>
    <x v="5"/>
    <n v="35000"/>
    <d v="2022-07-28T00:00:00"/>
    <n v="25"/>
    <n v="455"/>
    <n v="0"/>
    <n v="0"/>
    <n v="0"/>
    <n v="0"/>
    <n v="568.75"/>
    <n v="11375"/>
    <e v="#N/A"/>
    <n v="0"/>
  </r>
  <r>
    <x v="4"/>
    <n v="160"/>
    <d v="2022-07-28T00:00:00"/>
    <n v="3750"/>
    <n v="5.35"/>
    <n v="0"/>
    <n v="0"/>
    <n v="0"/>
    <n v="0"/>
    <n v="4.0124999999999993"/>
    <n v="20062.5"/>
    <e v="#N/A"/>
    <n v="0"/>
  </r>
  <r>
    <x v="4"/>
    <n v="175"/>
    <d v="2022-07-28T00:00:00"/>
    <n v="3750"/>
    <n v="2.8"/>
    <n v="0"/>
    <n v="0"/>
    <n v="0"/>
    <n v="0"/>
    <n v="3.5"/>
    <n v="10500"/>
    <e v="#N/A"/>
    <n v="0"/>
  </r>
  <r>
    <x v="4"/>
    <n v="170"/>
    <d v="2022-07-28T00:00:00"/>
    <n v="3750"/>
    <n v="4.2"/>
    <n v="0"/>
    <n v="0"/>
    <n v="0"/>
    <n v="0"/>
    <n v="5.25"/>
    <n v="15750"/>
    <e v="#N/A"/>
    <n v="0"/>
  </r>
  <r>
    <x v="0"/>
    <n v="16000"/>
    <d v="2022-07-28T00:00:00"/>
    <n v="50"/>
    <n v="260.5"/>
    <n v="0"/>
    <n v="0"/>
    <n v="0"/>
    <n v="0"/>
    <n v="195.375"/>
    <n v="13025"/>
    <e v="#N/A"/>
    <n v="0"/>
  </r>
  <r>
    <x v="0"/>
    <n v="15200"/>
    <d v="2022-07-28T00:00:00"/>
    <n v="50"/>
    <n v="66.3"/>
    <n v="0"/>
    <n v="0"/>
    <n v="0"/>
    <n v="0"/>
    <n v="82.875"/>
    <n v="3315"/>
    <e v="#N/A"/>
    <n v="0"/>
  </r>
  <r>
    <x v="4"/>
    <n v="172.5"/>
    <d v="2022-07-28T00:00:00"/>
    <n v="3750"/>
    <n v="3.6"/>
    <n v="0"/>
    <n v="0"/>
    <n v="0"/>
    <n v="0"/>
    <n v="4.5"/>
    <n v="13500"/>
    <e v="#N/A"/>
    <n v="0"/>
  </r>
  <r>
    <x v="6"/>
    <n v="3400"/>
    <d v="2022-07-28T00:00:00"/>
    <n v="150"/>
    <n v="50.15"/>
    <n v="0"/>
    <n v="0"/>
    <n v="0"/>
    <n v="0"/>
    <n v="62.6875"/>
    <n v="7522.5"/>
    <e v="#N/A"/>
    <n v="0"/>
  </r>
  <r>
    <x v="7"/>
    <s v=" "/>
    <d v="2022-08-25T00:00:00"/>
    <n v="300"/>
    <n v="1659.98"/>
    <n v="0"/>
    <n v="0"/>
    <n v="0"/>
    <n v="0"/>
    <n v="1244.9850000000001"/>
    <n v="497994"/>
    <e v="#N/A"/>
    <n v="497994"/>
  </r>
  <r>
    <x v="7"/>
    <s v=" "/>
    <d v="2022-08-25T00:00:00"/>
    <n v="300"/>
    <n v="1659.98"/>
    <n v="0"/>
    <n v="0"/>
    <n v="0"/>
    <n v="0"/>
    <n v="1244.9850000000001"/>
    <n v="497994"/>
    <e v="#N/A"/>
    <n v="497994"/>
  </r>
  <r>
    <x v="7"/>
    <n v="1640"/>
    <d v="2022-07-28T00:00:00"/>
    <n v="300"/>
    <n v="30"/>
    <n v="0"/>
    <n v="0"/>
    <n v="0"/>
    <n v="0"/>
    <n v="22.5"/>
    <n v="9000"/>
    <e v="#N/A"/>
    <n v="0"/>
  </r>
  <r>
    <x v="7"/>
    <n v="1640"/>
    <d v="2022-07-28T00:00:00"/>
    <n v="300"/>
    <n v="30"/>
    <n v="0"/>
    <n v="0"/>
    <n v="0"/>
    <n v="0"/>
    <n v="22.5"/>
    <n v="9000"/>
    <e v="#N/A"/>
    <n v="0"/>
  </r>
  <r>
    <x v="5"/>
    <s v=" "/>
    <d v="2022-08-25T00:00:00"/>
    <n v="25"/>
    <n v="35190"/>
    <n v="0"/>
    <n v="0"/>
    <n v="0"/>
    <n v="0"/>
    <n v="26392.5"/>
    <n v="879750"/>
    <e v="#N/A"/>
    <n v="879750"/>
  </r>
  <r>
    <x v="5"/>
    <s v=" "/>
    <d v="2022-08-25T00:00:00"/>
    <n v="25"/>
    <n v="35201.599999999999"/>
    <n v="0"/>
    <n v="0"/>
    <n v="0"/>
    <n v="0"/>
    <n v="26401.199999999997"/>
    <n v="880040"/>
    <e v="#N/A"/>
    <n v="880040"/>
  </r>
  <r>
    <x v="5"/>
    <s v=" "/>
    <d v="2022-08-25T00:00:00"/>
    <n v="25"/>
    <n v="35201.599999999999"/>
    <n v="0"/>
    <n v="0"/>
    <n v="0"/>
    <n v="0"/>
    <n v="26401.199999999997"/>
    <n v="880040"/>
    <e v="#N/A"/>
    <n v="880040"/>
  </r>
  <r>
    <x v="12"/>
    <n v="2500"/>
    <d v="2022-07-28T00:00:00"/>
    <n v="300"/>
    <n v="57.6"/>
    <n v="0"/>
    <n v="0"/>
    <n v="0"/>
    <n v="0"/>
    <n v="72"/>
    <n v="17280"/>
    <e v="#N/A"/>
    <n v="0"/>
  </r>
  <r>
    <x v="0"/>
    <n v="16000"/>
    <d v="2022-07-28T00:00:00"/>
    <n v="50"/>
    <n v="198"/>
    <n v="0"/>
    <n v="0"/>
    <n v="0"/>
    <n v="0"/>
    <n v="148.5"/>
    <n v="9900"/>
    <e v="#N/A"/>
    <n v="0"/>
  </r>
  <r>
    <x v="3"/>
    <s v=" "/>
    <d v="2022-08-25T00:00:00"/>
    <n v="1425"/>
    <n v="438.65"/>
    <n v="0"/>
    <n v="0"/>
    <n v="0"/>
    <n v="0"/>
    <n v="328.98749999999995"/>
    <n v="625076.25"/>
    <e v="#N/A"/>
    <n v="625076.25"/>
  </r>
  <r>
    <x v="3"/>
    <s v=" "/>
    <d v="2022-08-25T00:00:00"/>
    <n v="1425"/>
    <n v="439"/>
    <n v="0"/>
    <n v="0"/>
    <n v="0"/>
    <n v="0"/>
    <n v="329.25"/>
    <n v="625575"/>
    <e v="#N/A"/>
    <n v="625575"/>
  </r>
  <r>
    <x v="3"/>
    <s v=" "/>
    <d v="2022-08-25T00:00:00"/>
    <n v="1425"/>
    <n v="444.15"/>
    <n v="0"/>
    <n v="0"/>
    <n v="0"/>
    <n v="0"/>
    <n v="333.11249999999995"/>
    <n v="632913.75"/>
    <e v="#N/A"/>
    <n v="632913.75"/>
  </r>
  <r>
    <x v="3"/>
    <n v="430"/>
    <d v="2022-07-28T00:00:00"/>
    <n v="1425"/>
    <n v="9.4"/>
    <n v="0"/>
    <n v="0"/>
    <n v="0"/>
    <n v="0"/>
    <n v="7.0500000000000007"/>
    <n v="13395"/>
    <e v="#N/A"/>
    <n v="0"/>
  </r>
  <r>
    <x v="3"/>
    <n v="430"/>
    <d v="2022-07-28T00:00:00"/>
    <n v="1425"/>
    <n v="11"/>
    <n v="0"/>
    <n v="0"/>
    <n v="0"/>
    <n v="0"/>
    <n v="8.25"/>
    <n v="15675"/>
    <e v="#N/A"/>
    <n v="0"/>
  </r>
  <r>
    <x v="3"/>
    <n v="430"/>
    <d v="2022-07-28T00:00:00"/>
    <n v="1425"/>
    <n v="11.3"/>
    <n v="0"/>
    <n v="0"/>
    <n v="0"/>
    <n v="0"/>
    <n v="8.4750000000000014"/>
    <n v="16102.500000000002"/>
    <e v="#N/A"/>
    <n v="0"/>
  </r>
  <r>
    <x v="3"/>
    <n v="460"/>
    <d v="2022-07-28T00:00:00"/>
    <n v="1425"/>
    <n v="6.35"/>
    <n v="0"/>
    <n v="0"/>
    <n v="0"/>
    <n v="0"/>
    <n v="7.9375"/>
    <n v="9048.75"/>
    <e v="#N/A"/>
    <n v="0"/>
  </r>
  <r>
    <x v="5"/>
    <n v="34000"/>
    <d v="2022-07-28T00:00:00"/>
    <n v="25"/>
    <n v="382.75"/>
    <n v="0"/>
    <n v="0"/>
    <n v="0"/>
    <n v="0"/>
    <n v="287.0625"/>
    <n v="9568.75"/>
    <e v="#N/A"/>
    <n v="0"/>
  </r>
  <r>
    <x v="5"/>
    <n v="35000"/>
    <d v="2022-07-28T00:00:00"/>
    <n v="25"/>
    <n v="697"/>
    <n v="0"/>
    <n v="0"/>
    <n v="0"/>
    <n v="0"/>
    <n v="871.25"/>
    <n v="17425"/>
    <e v="#N/A"/>
    <n v="0"/>
  </r>
  <r>
    <x v="0"/>
    <n v="16600"/>
    <d v="2022-07-28T00:00:00"/>
    <n v="50"/>
    <n v="93.85"/>
    <n v="0"/>
    <n v="0"/>
    <n v="0"/>
    <n v="0"/>
    <n v="117.3125"/>
    <n v="4692.5"/>
    <e v="#N/A"/>
    <n v="0"/>
  </r>
  <r>
    <x v="13"/>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BI1:BU3" firstHeaderRow="1" firstDataRow="2" firstDataCol="1"/>
  <pivotFields count="13">
    <pivotField axis="axisCol" showAll="0" measureFilter="1">
      <items count="15">
        <item x="5"/>
        <item x="4"/>
        <item x="0"/>
        <item x="2"/>
        <item x="3"/>
        <item x="1"/>
        <item x="6"/>
        <item x="13"/>
        <item x="7"/>
        <item x="8"/>
        <item x="9"/>
        <item x="10"/>
        <item x="11"/>
        <item x="12"/>
        <item t="default"/>
      </items>
    </pivotField>
    <pivotField showAll="0"/>
    <pivotField showAll="0"/>
    <pivotField showAll="0"/>
    <pivotField showAll="0"/>
    <pivotField showAll="0"/>
    <pivotField showAll="0" defaultSubtotal="0"/>
    <pivotField showAll="0" defaultSubtotal="0"/>
    <pivotField showAll="0"/>
    <pivotField showAll="0"/>
    <pivotField showAll="0"/>
    <pivotField showAll="0"/>
    <pivotField dataField="1" showAll="0"/>
  </pivotFields>
  <rowItems count="1">
    <i/>
  </rowItems>
  <colFields count="1">
    <field x="0"/>
  </colFields>
  <colItems count="12">
    <i>
      <x/>
    </i>
    <i>
      <x v="1"/>
    </i>
    <i>
      <x v="2"/>
    </i>
    <i>
      <x v="3"/>
    </i>
    <i>
      <x v="4"/>
    </i>
    <i>
      <x v="5"/>
    </i>
    <i>
      <x v="6"/>
    </i>
    <i>
      <x v="8"/>
    </i>
    <i>
      <x v="9"/>
    </i>
    <i>
      <x v="10"/>
    </i>
    <i>
      <x v="13"/>
    </i>
    <i t="grand">
      <x/>
    </i>
  </colItems>
  <dataFields count="1">
    <dataField name="Sum of Future Exposre" fld="12" baseField="0" baseItem="0"/>
  </dataFields>
  <pivotTableStyleInfo name="PivotStyleLight16" showRowHeaders="1" showColHeaders="1" showRowStripes="0" showColStripes="0" showLastColumn="1"/>
  <filters count="1">
    <filter fld="0" type="valueNotEqual" evalOrder="-1" id="1" iMeasureFld="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4"/>
  <sheetViews>
    <sheetView zoomScale="80" zoomScaleNormal="80" workbookViewId="0">
      <selection activeCell="D4" sqref="D4"/>
    </sheetView>
  </sheetViews>
  <sheetFormatPr defaultRowHeight="15"/>
  <sheetData>
    <row r="1" spans="2:7">
      <c r="D1" t="s">
        <v>674</v>
      </c>
      <c r="E1" t="s">
        <v>676</v>
      </c>
    </row>
    <row r="2" spans="2:7">
      <c r="B2" t="s">
        <v>658</v>
      </c>
      <c r="C2" t="s">
        <v>679</v>
      </c>
      <c r="D2" t="s">
        <v>675</v>
      </c>
      <c r="E2" t="s">
        <v>609</v>
      </c>
      <c r="F2" t="s">
        <v>677</v>
      </c>
      <c r="G2" t="s">
        <v>678</v>
      </c>
    </row>
    <row r="3" spans="2:7">
      <c r="B3" s="38">
        <v>44621</v>
      </c>
      <c r="C3">
        <v>3.56</v>
      </c>
      <c r="D3">
        <v>1</v>
      </c>
      <c r="E3">
        <v>1.5</v>
      </c>
      <c r="F3">
        <v>0.08</v>
      </c>
      <c r="G3">
        <f>C3-(D3+E3+F3)</f>
        <v>0.98</v>
      </c>
    </row>
    <row r="4" spans="2:7">
      <c r="B4" s="38">
        <v>44652</v>
      </c>
      <c r="C4">
        <v>2.5299999999999998</v>
      </c>
      <c r="D4">
        <v>1</v>
      </c>
      <c r="E4">
        <v>1</v>
      </c>
      <c r="F4">
        <v>0.5</v>
      </c>
      <c r="G4">
        <f>C4-(D4+E4+F4)</f>
        <v>2.9999999999999805E-2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9"/>
  <dimension ref="B2:E24"/>
  <sheetViews>
    <sheetView zoomScaleNormal="100" workbookViewId="0">
      <selection activeCell="D31" sqref="D31"/>
    </sheetView>
  </sheetViews>
  <sheetFormatPr defaultRowHeight="15"/>
  <cols>
    <col min="2" max="2" width="35" bestFit="1" customWidth="1"/>
    <col min="3" max="3" width="14.85546875" bestFit="1" customWidth="1"/>
    <col min="4" max="4" width="13.7109375" bestFit="1" customWidth="1"/>
    <col min="5" max="5" width="14.85546875" bestFit="1" customWidth="1"/>
  </cols>
  <sheetData>
    <row r="2" spans="2:5">
      <c r="C2" s="32" t="s">
        <v>0</v>
      </c>
      <c r="D2" s="32" t="s">
        <v>547</v>
      </c>
      <c r="E2" s="32" t="s">
        <v>546</v>
      </c>
    </row>
    <row r="3" spans="2:5">
      <c r="B3" s="79">
        <v>44473</v>
      </c>
      <c r="C3" s="2">
        <v>102264</v>
      </c>
      <c r="D3" s="2">
        <v>209693</v>
      </c>
      <c r="E3" s="2">
        <f>C3+D3</f>
        <v>311957</v>
      </c>
    </row>
    <row r="4" spans="2:5">
      <c r="B4" s="79">
        <v>44473</v>
      </c>
      <c r="C4" s="2">
        <v>1275334.8</v>
      </c>
      <c r="D4" s="2">
        <v>209693</v>
      </c>
      <c r="E4" s="2">
        <f>C4+D4</f>
        <v>1485027.8</v>
      </c>
    </row>
    <row r="5" spans="2:5">
      <c r="B5" s="79"/>
      <c r="C5" s="2"/>
      <c r="D5" s="2"/>
      <c r="E5" s="2"/>
    </row>
    <row r="6" spans="2:5">
      <c r="B6" s="79"/>
      <c r="C6" s="2"/>
      <c r="D6" s="2"/>
      <c r="E6" s="2"/>
    </row>
    <row r="7" spans="2:5">
      <c r="B7" s="79"/>
      <c r="C7" s="2"/>
      <c r="D7" s="2"/>
      <c r="E7" s="2"/>
    </row>
    <row r="8" spans="2:5">
      <c r="B8" s="79"/>
      <c r="C8" s="2"/>
      <c r="D8" s="2"/>
      <c r="E8" s="2"/>
    </row>
    <row r="9" spans="2:5">
      <c r="B9" s="79"/>
      <c r="C9" s="2"/>
      <c r="D9" s="2"/>
      <c r="E9" s="2"/>
    </row>
    <row r="10" spans="2:5">
      <c r="B10" s="79"/>
      <c r="C10" s="2"/>
      <c r="D10" s="2"/>
      <c r="E10" s="2"/>
    </row>
    <row r="11" spans="2:5">
      <c r="B11" s="79"/>
      <c r="C11" s="2"/>
      <c r="D11" s="2"/>
      <c r="E11" s="2"/>
    </row>
    <row r="12" spans="2:5">
      <c r="B12" s="79"/>
      <c r="C12" s="2"/>
      <c r="D12" s="2"/>
      <c r="E12" s="2"/>
    </row>
    <row r="13" spans="2:5">
      <c r="B13" s="79"/>
      <c r="C13" s="2"/>
      <c r="D13" s="2"/>
      <c r="E13" s="2"/>
    </row>
    <row r="14" spans="2:5">
      <c r="B14" s="79"/>
      <c r="C14" s="2"/>
      <c r="D14" s="2"/>
      <c r="E14" s="2"/>
    </row>
    <row r="15" spans="2:5">
      <c r="B15" s="79"/>
      <c r="C15" s="2"/>
      <c r="D15" s="2"/>
      <c r="E15" s="2"/>
    </row>
    <row r="16" spans="2:5">
      <c r="B16" s="79"/>
      <c r="C16" s="2"/>
      <c r="D16" s="2"/>
      <c r="E16" s="2"/>
    </row>
    <row r="17" spans="2:5">
      <c r="B17" s="79"/>
      <c r="C17" s="2"/>
      <c r="D17" s="2"/>
      <c r="E17" s="2"/>
    </row>
    <row r="18" spans="2:5">
      <c r="B18" s="79"/>
      <c r="C18" s="2"/>
      <c r="D18" s="2"/>
      <c r="E18" s="2"/>
    </row>
    <row r="19" spans="2:5">
      <c r="B19" s="79"/>
      <c r="C19" s="2"/>
      <c r="D19" s="2"/>
      <c r="E19" s="2"/>
    </row>
    <row r="20" spans="2:5">
      <c r="B20" s="79"/>
      <c r="C20" s="2"/>
      <c r="D20" s="2"/>
      <c r="E20" s="2"/>
    </row>
    <row r="21" spans="2:5">
      <c r="B21" s="79"/>
      <c r="C21" s="2"/>
      <c r="D21" s="2"/>
      <c r="E21" s="2"/>
    </row>
    <row r="22" spans="2:5">
      <c r="B22" s="79"/>
      <c r="C22" s="2"/>
      <c r="D22" s="2"/>
      <c r="E22" s="2"/>
    </row>
    <row r="23" spans="2:5">
      <c r="B23" s="79"/>
      <c r="C23" s="2"/>
      <c r="D23" s="2"/>
      <c r="E23" s="2"/>
    </row>
    <row r="24" spans="2:5">
      <c r="B24" s="79"/>
      <c r="C24" s="2"/>
      <c r="D24" s="2"/>
      <c r="E24" s="2"/>
    </row>
  </sheetData>
  <conditionalFormatting sqref="C3:D3">
    <cfRule type="cellIs" dxfId="249" priority="79" stopIfTrue="1" operator="lessThan">
      <formula>0</formula>
    </cfRule>
    <cfRule type="cellIs" dxfId="248" priority="80" stopIfTrue="1" operator="greaterThan">
      <formula>0</formula>
    </cfRule>
  </conditionalFormatting>
  <conditionalFormatting sqref="C3:D3">
    <cfRule type="cellIs" dxfId="247" priority="77" stopIfTrue="1" operator="lessThan">
      <formula>0</formula>
    </cfRule>
    <cfRule type="cellIs" dxfId="246" priority="78" stopIfTrue="1" operator="greaterThan">
      <formula>0</formula>
    </cfRule>
  </conditionalFormatting>
  <conditionalFormatting sqref="C5:D7 C9:D11 C13:D15 C18:D18">
    <cfRule type="cellIs" dxfId="245" priority="75" stopIfTrue="1" operator="lessThan">
      <formula>0</formula>
    </cfRule>
    <cfRule type="cellIs" dxfId="244" priority="76" stopIfTrue="1" operator="greaterThan">
      <formula>0</formula>
    </cfRule>
  </conditionalFormatting>
  <conditionalFormatting sqref="C5:D7 C9:D11 C13:D15 C18:D18">
    <cfRule type="cellIs" dxfId="243" priority="73" stopIfTrue="1" operator="lessThan">
      <formula>0</formula>
    </cfRule>
    <cfRule type="cellIs" dxfId="242" priority="74" stopIfTrue="1" operator="greaterThan">
      <formula>0</formula>
    </cfRule>
  </conditionalFormatting>
  <conditionalFormatting sqref="C8:D8">
    <cfRule type="cellIs" dxfId="241" priority="71" stopIfTrue="1" operator="lessThan">
      <formula>0</formula>
    </cfRule>
    <cfRule type="cellIs" dxfId="240" priority="72" stopIfTrue="1" operator="greaterThan">
      <formula>0</formula>
    </cfRule>
  </conditionalFormatting>
  <conditionalFormatting sqref="C8:D8">
    <cfRule type="cellIs" dxfId="239" priority="69" stopIfTrue="1" operator="lessThan">
      <formula>0</formula>
    </cfRule>
    <cfRule type="cellIs" dxfId="238" priority="70" stopIfTrue="1" operator="greaterThan">
      <formula>0</formula>
    </cfRule>
  </conditionalFormatting>
  <conditionalFormatting sqref="C12:D15 C18:D19 C21:D24">
    <cfRule type="cellIs" dxfId="237" priority="67" stopIfTrue="1" operator="lessThan">
      <formula>0</formula>
    </cfRule>
    <cfRule type="cellIs" dxfId="236" priority="68" stopIfTrue="1" operator="greaterThan">
      <formula>0</formula>
    </cfRule>
  </conditionalFormatting>
  <conditionalFormatting sqref="C12:D15 C18:D19 C21:D24">
    <cfRule type="cellIs" dxfId="235" priority="65" stopIfTrue="1" operator="lessThan">
      <formula>0</formula>
    </cfRule>
    <cfRule type="cellIs" dxfId="234" priority="66" stopIfTrue="1" operator="greaterThan">
      <formula>0</formula>
    </cfRule>
  </conditionalFormatting>
  <conditionalFormatting sqref="C16:D16">
    <cfRule type="cellIs" dxfId="233" priority="63" stopIfTrue="1" operator="lessThan">
      <formula>0</formula>
    </cfRule>
    <cfRule type="cellIs" dxfId="232" priority="64" stopIfTrue="1" operator="greaterThan">
      <formula>0</formula>
    </cfRule>
  </conditionalFormatting>
  <conditionalFormatting sqref="C16:D16">
    <cfRule type="cellIs" dxfId="231" priority="61" stopIfTrue="1" operator="lessThan">
      <formula>0</formula>
    </cfRule>
    <cfRule type="cellIs" dxfId="230" priority="62" stopIfTrue="1" operator="greaterThan">
      <formula>0</formula>
    </cfRule>
  </conditionalFormatting>
  <conditionalFormatting sqref="C16:D16">
    <cfRule type="cellIs" dxfId="229" priority="59" stopIfTrue="1" operator="lessThan">
      <formula>0</formula>
    </cfRule>
    <cfRule type="cellIs" dxfId="228" priority="60" stopIfTrue="1" operator="greaterThan">
      <formula>0</formula>
    </cfRule>
  </conditionalFormatting>
  <conditionalFormatting sqref="C16:D16">
    <cfRule type="cellIs" dxfId="227" priority="57" stopIfTrue="1" operator="lessThan">
      <formula>0</formula>
    </cfRule>
    <cfRule type="cellIs" dxfId="226" priority="58" stopIfTrue="1" operator="greaterThan">
      <formula>0</formula>
    </cfRule>
  </conditionalFormatting>
  <conditionalFormatting sqref="C17:D17">
    <cfRule type="cellIs" dxfId="225" priority="55" stopIfTrue="1" operator="lessThan">
      <formula>0</formula>
    </cfRule>
    <cfRule type="cellIs" dxfId="224" priority="56" stopIfTrue="1" operator="greaterThan">
      <formula>0</formula>
    </cfRule>
  </conditionalFormatting>
  <conditionalFormatting sqref="C17:D17">
    <cfRule type="cellIs" dxfId="223" priority="53" stopIfTrue="1" operator="lessThan">
      <formula>0</formula>
    </cfRule>
    <cfRule type="cellIs" dxfId="222" priority="54" stopIfTrue="1" operator="greaterThan">
      <formula>0</formula>
    </cfRule>
  </conditionalFormatting>
  <conditionalFormatting sqref="C17:D17">
    <cfRule type="cellIs" dxfId="221" priority="51" stopIfTrue="1" operator="lessThan">
      <formula>0</formula>
    </cfRule>
    <cfRule type="cellIs" dxfId="220" priority="52" stopIfTrue="1" operator="greaterThan">
      <formula>0</formula>
    </cfRule>
  </conditionalFormatting>
  <conditionalFormatting sqref="C17:D17">
    <cfRule type="cellIs" dxfId="219" priority="49" stopIfTrue="1" operator="lessThan">
      <formula>0</formula>
    </cfRule>
    <cfRule type="cellIs" dxfId="218" priority="50" stopIfTrue="1" operator="greaterThan">
      <formula>0</formula>
    </cfRule>
  </conditionalFormatting>
  <conditionalFormatting sqref="C20:D20">
    <cfRule type="cellIs" dxfId="217" priority="47" stopIfTrue="1" operator="lessThan">
      <formula>0</formula>
    </cfRule>
    <cfRule type="cellIs" dxfId="216" priority="48" stopIfTrue="1" operator="greaterThan">
      <formula>0</formula>
    </cfRule>
  </conditionalFormatting>
  <conditionalFormatting sqref="C20:D20">
    <cfRule type="cellIs" dxfId="215" priority="45" stopIfTrue="1" operator="lessThan">
      <formula>0</formula>
    </cfRule>
    <cfRule type="cellIs" dxfId="214" priority="46" stopIfTrue="1" operator="greaterThan">
      <formula>0</formula>
    </cfRule>
  </conditionalFormatting>
  <conditionalFormatting sqref="E3">
    <cfRule type="cellIs" dxfId="213" priority="43" stopIfTrue="1" operator="lessThan">
      <formula>0</formula>
    </cfRule>
    <cfRule type="cellIs" dxfId="212" priority="44" stopIfTrue="1" operator="greaterThan">
      <formula>0</formula>
    </cfRule>
  </conditionalFormatting>
  <conditionalFormatting sqref="E3">
    <cfRule type="cellIs" dxfId="211" priority="41" stopIfTrue="1" operator="lessThan">
      <formula>0</formula>
    </cfRule>
    <cfRule type="cellIs" dxfId="210" priority="42" stopIfTrue="1" operator="greaterThan">
      <formula>0</formula>
    </cfRule>
  </conditionalFormatting>
  <conditionalFormatting sqref="E5:E7 E9:E11 E13:E15 E18">
    <cfRule type="cellIs" dxfId="209" priority="39" stopIfTrue="1" operator="lessThan">
      <formula>0</formula>
    </cfRule>
    <cfRule type="cellIs" dxfId="208" priority="40" stopIfTrue="1" operator="greaterThan">
      <formula>0</formula>
    </cfRule>
  </conditionalFormatting>
  <conditionalFormatting sqref="E5:E7 E9:E11 E13:E15 E18">
    <cfRule type="cellIs" dxfId="207" priority="37" stopIfTrue="1" operator="lessThan">
      <formula>0</formula>
    </cfRule>
    <cfRule type="cellIs" dxfId="206" priority="38" stopIfTrue="1" operator="greaterThan">
      <formula>0</formula>
    </cfRule>
  </conditionalFormatting>
  <conditionalFormatting sqref="E8">
    <cfRule type="cellIs" dxfId="205" priority="35" stopIfTrue="1" operator="lessThan">
      <formula>0</formula>
    </cfRule>
    <cfRule type="cellIs" dxfId="204" priority="36" stopIfTrue="1" operator="greaterThan">
      <formula>0</formula>
    </cfRule>
  </conditionalFormatting>
  <conditionalFormatting sqref="E8">
    <cfRule type="cellIs" dxfId="203" priority="33" stopIfTrue="1" operator="lessThan">
      <formula>0</formula>
    </cfRule>
    <cfRule type="cellIs" dxfId="202" priority="34" stopIfTrue="1" operator="greaterThan">
      <formula>0</formula>
    </cfRule>
  </conditionalFormatting>
  <conditionalFormatting sqref="E12:E15 E18:E19 E21:E24">
    <cfRule type="cellIs" dxfId="201" priority="31" stopIfTrue="1" operator="lessThan">
      <formula>0</formula>
    </cfRule>
    <cfRule type="cellIs" dxfId="200" priority="32" stopIfTrue="1" operator="greaterThan">
      <formula>0</formula>
    </cfRule>
  </conditionalFormatting>
  <conditionalFormatting sqref="E12:E15 E18:E19 E21:E24">
    <cfRule type="cellIs" dxfId="199" priority="29" stopIfTrue="1" operator="lessThan">
      <formula>0</formula>
    </cfRule>
    <cfRule type="cellIs" dxfId="198" priority="30" stopIfTrue="1" operator="greaterThan">
      <formula>0</formula>
    </cfRule>
  </conditionalFormatting>
  <conditionalFormatting sqref="E16">
    <cfRule type="cellIs" dxfId="197" priority="27" stopIfTrue="1" operator="lessThan">
      <formula>0</formula>
    </cfRule>
    <cfRule type="cellIs" dxfId="196" priority="28" stopIfTrue="1" operator="greaterThan">
      <formula>0</formula>
    </cfRule>
  </conditionalFormatting>
  <conditionalFormatting sqref="E16">
    <cfRule type="cellIs" dxfId="195" priority="25" stopIfTrue="1" operator="lessThan">
      <formula>0</formula>
    </cfRule>
    <cfRule type="cellIs" dxfId="194" priority="26" stopIfTrue="1" operator="greaterThan">
      <formula>0</formula>
    </cfRule>
  </conditionalFormatting>
  <conditionalFormatting sqref="E16">
    <cfRule type="cellIs" dxfId="193" priority="23" stopIfTrue="1" operator="lessThan">
      <formula>0</formula>
    </cfRule>
    <cfRule type="cellIs" dxfId="192" priority="24" stopIfTrue="1" operator="greaterThan">
      <formula>0</formula>
    </cfRule>
  </conditionalFormatting>
  <conditionalFormatting sqref="E16">
    <cfRule type="cellIs" dxfId="191" priority="21" stopIfTrue="1" operator="lessThan">
      <formula>0</formula>
    </cfRule>
    <cfRule type="cellIs" dxfId="190" priority="22" stopIfTrue="1" operator="greaterThan">
      <formula>0</formula>
    </cfRule>
  </conditionalFormatting>
  <conditionalFormatting sqref="E17">
    <cfRule type="cellIs" dxfId="189" priority="19" stopIfTrue="1" operator="lessThan">
      <formula>0</formula>
    </cfRule>
    <cfRule type="cellIs" dxfId="188" priority="20" stopIfTrue="1" operator="greaterThan">
      <formula>0</formula>
    </cfRule>
  </conditionalFormatting>
  <conditionalFormatting sqref="E17">
    <cfRule type="cellIs" dxfId="187" priority="17" stopIfTrue="1" operator="lessThan">
      <formula>0</formula>
    </cfRule>
    <cfRule type="cellIs" dxfId="186" priority="18" stopIfTrue="1" operator="greaterThan">
      <formula>0</formula>
    </cfRule>
  </conditionalFormatting>
  <conditionalFormatting sqref="E17">
    <cfRule type="cellIs" dxfId="185" priority="15" stopIfTrue="1" operator="lessThan">
      <formula>0</formula>
    </cfRule>
    <cfRule type="cellIs" dxfId="184" priority="16" stopIfTrue="1" operator="greaterThan">
      <formula>0</formula>
    </cfRule>
  </conditionalFormatting>
  <conditionalFormatting sqref="E17">
    <cfRule type="cellIs" dxfId="183" priority="13" stopIfTrue="1" operator="lessThan">
      <formula>0</formula>
    </cfRule>
    <cfRule type="cellIs" dxfId="182" priority="14" stopIfTrue="1" operator="greaterThan">
      <formula>0</formula>
    </cfRule>
  </conditionalFormatting>
  <conditionalFormatting sqref="E20">
    <cfRule type="cellIs" dxfId="181" priority="11" stopIfTrue="1" operator="lessThan">
      <formula>0</formula>
    </cfRule>
    <cfRule type="cellIs" dxfId="180" priority="12" stopIfTrue="1" operator="greaterThan">
      <formula>0</formula>
    </cfRule>
  </conditionalFormatting>
  <conditionalFormatting sqref="E20">
    <cfRule type="cellIs" dxfId="179" priority="9" stopIfTrue="1" operator="lessThan">
      <formula>0</formula>
    </cfRule>
    <cfRule type="cellIs" dxfId="178" priority="10" stopIfTrue="1" operator="greaterThan">
      <formula>0</formula>
    </cfRule>
  </conditionalFormatting>
  <conditionalFormatting sqref="C4:D4">
    <cfRule type="cellIs" dxfId="177" priority="7" stopIfTrue="1" operator="lessThan">
      <formula>0</formula>
    </cfRule>
    <cfRule type="cellIs" dxfId="176" priority="8" stopIfTrue="1" operator="greaterThan">
      <formula>0</formula>
    </cfRule>
  </conditionalFormatting>
  <conditionalFormatting sqref="C4:D4">
    <cfRule type="cellIs" dxfId="175" priority="5" stopIfTrue="1" operator="lessThan">
      <formula>0</formula>
    </cfRule>
    <cfRule type="cellIs" dxfId="174" priority="6" stopIfTrue="1" operator="greaterThan">
      <formula>0</formula>
    </cfRule>
  </conditionalFormatting>
  <conditionalFormatting sqref="E4">
    <cfRule type="cellIs" dxfId="173" priority="3" stopIfTrue="1" operator="lessThan">
      <formula>0</formula>
    </cfRule>
    <cfRule type="cellIs" dxfId="172" priority="4" stopIfTrue="1" operator="greaterThan">
      <formula>0</formula>
    </cfRule>
  </conditionalFormatting>
  <conditionalFormatting sqref="E4">
    <cfRule type="cellIs" dxfId="171" priority="1" stopIfTrue="1" operator="lessThan">
      <formula>0</formula>
    </cfRule>
    <cfRule type="cellIs" dxfId="170" priority="2" stopIfTrue="1" operator="greaterThan">
      <formula>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B1:R19"/>
  <sheetViews>
    <sheetView zoomScale="85" zoomScaleNormal="85" workbookViewId="0">
      <selection activeCell="G11" sqref="G11"/>
    </sheetView>
  </sheetViews>
  <sheetFormatPr defaultRowHeight="15"/>
  <cols>
    <col min="2" max="2" width="11.42578125" bestFit="1" customWidth="1"/>
    <col min="3" max="3" width="10.28515625" bestFit="1" customWidth="1"/>
    <col min="12" max="12" width="11.42578125" bestFit="1" customWidth="1"/>
  </cols>
  <sheetData>
    <row r="1" spans="2:18" ht="15.75" thickBot="1">
      <c r="B1" s="82"/>
      <c r="C1" s="87"/>
      <c r="D1" s="87"/>
      <c r="E1" s="87"/>
      <c r="F1" s="87"/>
      <c r="G1" s="87"/>
      <c r="H1" s="87"/>
      <c r="I1" s="87"/>
      <c r="J1" s="87"/>
    </row>
    <row r="2" spans="2:18">
      <c r="B2" s="90" t="s">
        <v>79</v>
      </c>
      <c r="C2" s="91" t="s">
        <v>80</v>
      </c>
      <c r="D2" s="91" t="s">
        <v>81</v>
      </c>
      <c r="E2" s="91" t="s">
        <v>82</v>
      </c>
      <c r="F2" s="91" t="s">
        <v>83</v>
      </c>
      <c r="G2" s="91" t="s">
        <v>84</v>
      </c>
      <c r="H2" s="91" t="s">
        <v>85</v>
      </c>
      <c r="I2" s="91" t="s">
        <v>86</v>
      </c>
      <c r="J2" s="92" t="s">
        <v>87</v>
      </c>
      <c r="L2" s="90" t="s">
        <v>79</v>
      </c>
      <c r="M2" s="91" t="s">
        <v>550</v>
      </c>
      <c r="N2" s="91" t="s">
        <v>551</v>
      </c>
      <c r="O2" s="91" t="s">
        <v>552</v>
      </c>
      <c r="P2" s="91" t="s">
        <v>553</v>
      </c>
      <c r="Q2" s="91" t="s">
        <v>554</v>
      </c>
      <c r="R2" s="92" t="s">
        <v>555</v>
      </c>
    </row>
    <row r="3" spans="2:18" ht="33" customHeight="1" thickBot="1">
      <c r="B3" s="95" t="s">
        <v>88</v>
      </c>
      <c r="C3" s="85">
        <f>C13</f>
        <v>17929.650000000001</v>
      </c>
      <c r="D3" s="96" t="str">
        <f t="shared" ref="D3:I4" si="0">TEXT(D13,"0.00")&amp;"  ("&amp;TEXT(D13/$C13-1,"0.00%")&amp;")"</f>
        <v>18023.46  (0.52%)</v>
      </c>
      <c r="E3" s="96" t="str">
        <f t="shared" si="0"/>
        <v>18117.28  (1.05%)</v>
      </c>
      <c r="F3" s="96" t="str">
        <f t="shared" si="0"/>
        <v>18280.46  (1.96%)</v>
      </c>
      <c r="G3" s="96" t="str">
        <f t="shared" si="0"/>
        <v>17766.46  (-0.91%)</v>
      </c>
      <c r="H3" s="96" t="str">
        <f t="shared" si="0"/>
        <v>17603.28  (-1.82%)</v>
      </c>
      <c r="I3" s="96" t="str">
        <f t="shared" si="0"/>
        <v>17509.46  (-2.34%)</v>
      </c>
      <c r="J3" s="97" t="str">
        <f>TEXT(J13,"0.00")</f>
        <v>0.90</v>
      </c>
      <c r="L3" s="95" t="s">
        <v>88</v>
      </c>
      <c r="M3" s="96" t="str">
        <f t="shared" ref="M3:R3" si="1">TEXT(M13,"0.00")&amp;"  ("&amp;TEXT(M13/$C13-1,"0.00%")&amp;")"</f>
        <v>17987.58  (0.32%)</v>
      </c>
      <c r="N3" s="96" t="str">
        <f>TEXT(N13,"0.00")&amp;"  ("&amp;TEXT(N13/$C13-1,"0.00%")&amp;")"</f>
        <v>18104.17  (0.97%)</v>
      </c>
      <c r="O3" s="96" t="str">
        <f>TEXT(O13,"0.00")&amp;"  ("&amp;TEXT(O13/$C13-1,"0.00%")&amp;")"</f>
        <v>18040.10  (0.62%)</v>
      </c>
      <c r="P3" s="96" t="str">
        <f t="shared" si="1"/>
        <v>17592.53  (-1.88%)</v>
      </c>
      <c r="Q3" s="96" t="str">
        <f t="shared" si="1"/>
        <v>16754.77  (-6.55%)</v>
      </c>
      <c r="R3" s="97" t="str">
        <f t="shared" si="1"/>
        <v>15790.99  (-11.93%)</v>
      </c>
    </row>
    <row r="4" spans="2:18" ht="33" customHeight="1" thickBot="1">
      <c r="B4" s="95" t="s">
        <v>89</v>
      </c>
      <c r="C4" s="85">
        <f>C14</f>
        <v>39763.75</v>
      </c>
      <c r="D4" s="96" t="str">
        <f t="shared" si="0"/>
        <v>40044.01  (0.70%)</v>
      </c>
      <c r="E4" s="96" t="str">
        <f t="shared" si="0"/>
        <v>40324.28  (1.41%)</v>
      </c>
      <c r="F4" s="96" t="str">
        <f t="shared" si="0"/>
        <v>40785.96  (2.57%)</v>
      </c>
      <c r="G4" s="96" t="str">
        <f t="shared" si="0"/>
        <v>39302.06  (-1.16%)</v>
      </c>
      <c r="H4" s="96" t="str">
        <f t="shared" si="0"/>
        <v>38840.38  (-2.32%)</v>
      </c>
      <c r="I4" s="96" t="str">
        <f t="shared" si="0"/>
        <v>38560.11  (-3.03%)</v>
      </c>
      <c r="J4" s="97" t="str">
        <f>TEXT(J14,"0.00")</f>
        <v>0.82</v>
      </c>
      <c r="L4" s="95" t="s">
        <v>89</v>
      </c>
      <c r="M4" s="96" t="str">
        <f t="shared" ref="M4:R4" si="2">TEXT(M14,"0.00")&amp;"  ("&amp;TEXT(M14/$C14-1,"0.00%")&amp;")"</f>
        <v>40100.19  (0.85%)</v>
      </c>
      <c r="N4" s="96" t="str">
        <f t="shared" si="2"/>
        <v>40110.59  (0.87%)</v>
      </c>
      <c r="O4" s="96" t="str">
        <f t="shared" si="2"/>
        <v>39197.67  (-1.42%)</v>
      </c>
      <c r="P4" s="96" t="str">
        <f t="shared" si="2"/>
        <v>37739.26  (-5.09%)</v>
      </c>
      <c r="Q4" s="96" t="str">
        <f t="shared" si="2"/>
        <v>36482.78  (-8.25%)</v>
      </c>
      <c r="R4" s="97" t="str">
        <f t="shared" si="2"/>
        <v>35174.15  (-11.54%)</v>
      </c>
    </row>
    <row r="5" spans="2:18" ht="15.75" thickBot="1">
      <c r="D5" s="8"/>
      <c r="E5" s="8"/>
      <c r="F5" s="8"/>
      <c r="G5" s="8"/>
      <c r="H5" s="8"/>
      <c r="I5" s="8"/>
      <c r="J5" s="8"/>
    </row>
    <row r="6" spans="2:18">
      <c r="B6" s="90" t="s">
        <v>79</v>
      </c>
      <c r="C6" s="91" t="s">
        <v>80</v>
      </c>
      <c r="D6" s="91" t="s">
        <v>81</v>
      </c>
      <c r="E6" s="91" t="s">
        <v>82</v>
      </c>
      <c r="F6" s="91" t="s">
        <v>83</v>
      </c>
      <c r="G6" s="91" t="s">
        <v>84</v>
      </c>
      <c r="H6" s="91" t="s">
        <v>85</v>
      </c>
      <c r="I6" s="91" t="s">
        <v>86</v>
      </c>
      <c r="J6" s="92" t="s">
        <v>87</v>
      </c>
      <c r="L6" s="90" t="s">
        <v>79</v>
      </c>
      <c r="M6" s="91" t="s">
        <v>550</v>
      </c>
      <c r="N6" s="91" t="s">
        <v>551</v>
      </c>
      <c r="O6" s="91" t="s">
        <v>552</v>
      </c>
      <c r="P6" s="91" t="s">
        <v>553</v>
      </c>
      <c r="Q6" s="91" t="s">
        <v>554</v>
      </c>
      <c r="R6" s="92" t="s">
        <v>555</v>
      </c>
    </row>
    <row r="7" spans="2:18">
      <c r="B7" s="94" t="s">
        <v>88</v>
      </c>
      <c r="C7" s="93">
        <f>C13/C17-1</f>
        <v>1.4599655380227672E-2</v>
      </c>
      <c r="D7" s="93">
        <f>D13/D17-1</f>
        <v>9.4936921556898479E-3</v>
      </c>
      <c r="E7" s="93">
        <f t="shared" ref="E7:J7" si="3">E13/E17-1</f>
        <v>4.4909482443165061E-3</v>
      </c>
      <c r="F7" s="93">
        <f t="shared" si="3"/>
        <v>6.815662088561103E-3</v>
      </c>
      <c r="G7" s="93">
        <f t="shared" si="3"/>
        <v>1.2264111705118985E-2</v>
      </c>
      <c r="H7" s="93">
        <f t="shared" si="3"/>
        <v>9.896286913150254E-3</v>
      </c>
      <c r="I7" s="93">
        <f t="shared" si="3"/>
        <v>1.513178567825757E-2</v>
      </c>
      <c r="J7" s="88">
        <f t="shared" si="3"/>
        <v>0.19999999999999996</v>
      </c>
      <c r="L7" s="94" t="s">
        <v>88</v>
      </c>
      <c r="M7" s="93">
        <f t="shared" ref="M7:R7" si="4">M13/M17-1</f>
        <v>-2.1717749142522447E-3</v>
      </c>
      <c r="N7" s="93">
        <f t="shared" si="4"/>
        <v>-3.0144981169024643E-3</v>
      </c>
      <c r="O7" s="93">
        <f t="shared" si="4"/>
        <v>1.10320517729523E-3</v>
      </c>
      <c r="P7" s="93">
        <f t="shared" si="4"/>
        <v>1.5496452951868633E-3</v>
      </c>
      <c r="Q7" s="93">
        <f t="shared" si="4"/>
        <v>1.308202772027256E-3</v>
      </c>
      <c r="R7" s="88">
        <f t="shared" si="4"/>
        <v>1.1354789299236057E-3</v>
      </c>
    </row>
    <row r="8" spans="2:18" ht="15.75" thickBot="1">
      <c r="B8" s="95" t="s">
        <v>89</v>
      </c>
      <c r="C8" s="96">
        <f>C14/C18-1</f>
        <v>1.6570115248136341E-2</v>
      </c>
      <c r="D8" s="96">
        <f t="shared" ref="D8:J8" si="5">D14/D18-1</f>
        <v>6.5099895664222363E-3</v>
      </c>
      <c r="E8" s="96">
        <f t="shared" si="5"/>
        <v>-3.2172001929084981E-3</v>
      </c>
      <c r="F8" s="96">
        <f t="shared" si="5"/>
        <v>-8.4517259729939287E-3</v>
      </c>
      <c r="G8" s="96">
        <f t="shared" si="5"/>
        <v>2.2521614271467927E-2</v>
      </c>
      <c r="H8" s="96">
        <f t="shared" si="5"/>
        <v>2.8687220964037641E-2</v>
      </c>
      <c r="I8" s="96">
        <f t="shared" si="5"/>
        <v>3.9697679641909289E-2</v>
      </c>
      <c r="J8" s="89">
        <f t="shared" si="5"/>
        <v>0.3666666666666667</v>
      </c>
      <c r="L8" s="95" t="s">
        <v>89</v>
      </c>
      <c r="M8" s="96">
        <f t="shared" ref="M8:R8" si="6">M14/M18-1</f>
        <v>-7.0749904917356554E-3</v>
      </c>
      <c r="N8" s="96">
        <f t="shared" si="6"/>
        <v>1.9674485757814608E-4</v>
      </c>
      <c r="O8" s="96">
        <f t="shared" si="6"/>
        <v>3.2479523695079227E-3</v>
      </c>
      <c r="P8" s="96">
        <f t="shared" si="6"/>
        <v>2.2358210992570182E-3</v>
      </c>
      <c r="Q8" s="96">
        <f t="shared" si="6"/>
        <v>1.284169855134909E-3</v>
      </c>
      <c r="R8" s="89">
        <f t="shared" si="6"/>
        <v>1.0929039511040628E-3</v>
      </c>
    </row>
    <row r="9" spans="2:18">
      <c r="D9" s="8"/>
      <c r="E9" s="8"/>
      <c r="F9" s="8"/>
      <c r="G9" s="8"/>
      <c r="H9" s="8"/>
      <c r="I9" s="8"/>
      <c r="J9" s="8"/>
    </row>
    <row r="11" spans="2:18" ht="15.75" thickBot="1"/>
    <row r="12" spans="2:18">
      <c r="B12" s="90" t="s">
        <v>79</v>
      </c>
      <c r="C12" s="91" t="s">
        <v>80</v>
      </c>
      <c r="D12" s="91" t="s">
        <v>81</v>
      </c>
      <c r="E12" s="91" t="s">
        <v>82</v>
      </c>
      <c r="F12" s="91" t="s">
        <v>83</v>
      </c>
      <c r="G12" s="91" t="s">
        <v>84</v>
      </c>
      <c r="H12" s="91" t="s">
        <v>85</v>
      </c>
      <c r="I12" s="91" t="s">
        <v>86</v>
      </c>
      <c r="J12" s="92" t="s">
        <v>87</v>
      </c>
      <c r="L12" s="90" t="s">
        <v>79</v>
      </c>
      <c r="M12" s="91" t="s">
        <v>550</v>
      </c>
      <c r="N12" s="91" t="s">
        <v>551</v>
      </c>
      <c r="O12" s="91" t="s">
        <v>552</v>
      </c>
      <c r="P12" s="91" t="s">
        <v>553</v>
      </c>
      <c r="Q12" s="91" t="s">
        <v>554</v>
      </c>
      <c r="R12" s="92" t="s">
        <v>555</v>
      </c>
    </row>
    <row r="13" spans="2:18">
      <c r="B13" s="80" t="s">
        <v>88</v>
      </c>
      <c r="C13" s="83">
        <v>17929.650000000001</v>
      </c>
      <c r="D13" s="83">
        <v>18023.46</v>
      </c>
      <c r="E13" s="83">
        <v>18117.28</v>
      </c>
      <c r="F13" s="83">
        <v>18280.46</v>
      </c>
      <c r="G13" s="83">
        <v>17766.46</v>
      </c>
      <c r="H13" s="83">
        <v>17603.28</v>
      </c>
      <c r="I13" s="83">
        <v>17509.46</v>
      </c>
      <c r="J13" s="84">
        <v>0.9</v>
      </c>
      <c r="L13" s="80" t="s">
        <v>502</v>
      </c>
      <c r="M13" s="124">
        <v>17987.580000000002</v>
      </c>
      <c r="N13" s="124">
        <v>18104.169999999998</v>
      </c>
      <c r="O13" s="124">
        <v>18040.099999999999</v>
      </c>
      <c r="P13" s="124">
        <v>17592.53</v>
      </c>
      <c r="Q13" s="124">
        <v>16754.77</v>
      </c>
      <c r="R13" s="125">
        <v>15790.99</v>
      </c>
    </row>
    <row r="14" spans="2:18" ht="15.75" thickBot="1">
      <c r="B14" s="81" t="s">
        <v>89</v>
      </c>
      <c r="C14" s="85">
        <v>39763.75</v>
      </c>
      <c r="D14" s="85">
        <v>40044.01</v>
      </c>
      <c r="E14" s="85">
        <v>40324.28</v>
      </c>
      <c r="F14" s="85">
        <v>40785.96</v>
      </c>
      <c r="G14" s="85">
        <v>39302.06</v>
      </c>
      <c r="H14" s="85">
        <v>38840.379999999997</v>
      </c>
      <c r="I14" s="85">
        <v>38560.11</v>
      </c>
      <c r="J14" s="86">
        <v>0.82</v>
      </c>
      <c r="L14" s="81" t="s">
        <v>506</v>
      </c>
      <c r="M14" s="126">
        <v>40100.19</v>
      </c>
      <c r="N14" s="126">
        <v>40110.589999999997</v>
      </c>
      <c r="O14" s="126">
        <v>39197.67</v>
      </c>
      <c r="P14" s="126">
        <v>37739.26</v>
      </c>
      <c r="Q14" s="126">
        <v>36482.78</v>
      </c>
      <c r="R14" s="127">
        <v>35174.15</v>
      </c>
    </row>
    <row r="16" spans="2:18">
      <c r="B16" t="s">
        <v>79</v>
      </c>
      <c r="C16" t="s">
        <v>80</v>
      </c>
      <c r="D16" t="s">
        <v>81</v>
      </c>
      <c r="E16" t="s">
        <v>82</v>
      </c>
      <c r="F16" t="s">
        <v>83</v>
      </c>
      <c r="G16" t="s">
        <v>84</v>
      </c>
      <c r="H16" t="s">
        <v>85</v>
      </c>
      <c r="I16" t="s">
        <v>86</v>
      </c>
      <c r="J16" t="s">
        <v>87</v>
      </c>
      <c r="L16" t="s">
        <v>79</v>
      </c>
      <c r="M16" t="s">
        <v>550</v>
      </c>
      <c r="N16" t="s">
        <v>551</v>
      </c>
      <c r="O16" t="s">
        <v>552</v>
      </c>
      <c r="P16" t="s">
        <v>553</v>
      </c>
      <c r="Q16" t="s">
        <v>554</v>
      </c>
      <c r="R16" t="s">
        <v>555</v>
      </c>
    </row>
    <row r="17" spans="2:18">
      <c r="B17" t="s">
        <v>88</v>
      </c>
      <c r="C17">
        <v>17671.650000000001</v>
      </c>
      <c r="D17">
        <v>17853.96</v>
      </c>
      <c r="E17">
        <v>18036.28</v>
      </c>
      <c r="F17">
        <v>18156.71</v>
      </c>
      <c r="G17">
        <v>17551.21</v>
      </c>
      <c r="H17">
        <v>17430.78</v>
      </c>
      <c r="I17">
        <v>17248.46</v>
      </c>
      <c r="J17">
        <v>0.75</v>
      </c>
      <c r="L17" t="s">
        <v>502</v>
      </c>
      <c r="M17" s="40">
        <v>18026.73</v>
      </c>
      <c r="N17" s="40">
        <v>18158.91</v>
      </c>
      <c r="O17" s="40">
        <v>18020.22</v>
      </c>
      <c r="P17" s="40">
        <v>17565.310000000001</v>
      </c>
      <c r="Q17" s="40">
        <v>16732.88</v>
      </c>
      <c r="R17" s="40">
        <v>15773.08</v>
      </c>
    </row>
    <row r="18" spans="2:18">
      <c r="B18" t="s">
        <v>89</v>
      </c>
      <c r="C18">
        <v>39115.599999999999</v>
      </c>
      <c r="D18">
        <v>39785.01</v>
      </c>
      <c r="E18">
        <v>40454.43</v>
      </c>
      <c r="F18">
        <v>41133.61</v>
      </c>
      <c r="G18">
        <v>38436.410000000003</v>
      </c>
      <c r="H18">
        <v>37757.230000000003</v>
      </c>
      <c r="I18">
        <v>37087.81</v>
      </c>
      <c r="J18">
        <v>0.6</v>
      </c>
      <c r="L18" t="s">
        <v>506</v>
      </c>
      <c r="M18" s="40">
        <v>40385.919999999998</v>
      </c>
      <c r="N18" s="40">
        <v>40102.699999999997</v>
      </c>
      <c r="O18" s="40">
        <v>39070.769999999997</v>
      </c>
      <c r="P18" s="40">
        <v>37655.07</v>
      </c>
      <c r="Q18" s="40">
        <v>36435.99</v>
      </c>
      <c r="R18" s="40">
        <v>35135.75</v>
      </c>
    </row>
    <row r="19" spans="2:18">
      <c r="M19" s="40"/>
      <c r="N19" s="40"/>
      <c r="O19" s="40"/>
      <c r="P19" s="40"/>
      <c r="Q19" s="40"/>
      <c r="R19" s="4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3:X32"/>
  <sheetViews>
    <sheetView zoomScale="84" zoomScaleNormal="84" workbookViewId="0">
      <selection activeCell="B13" sqref="B13"/>
    </sheetView>
  </sheetViews>
  <sheetFormatPr defaultRowHeight="15"/>
  <cols>
    <col min="2" max="2" width="35" bestFit="1" customWidth="1"/>
    <col min="3" max="3" width="18.85546875" bestFit="1" customWidth="1"/>
    <col min="4" max="4" width="18.85546875" customWidth="1"/>
    <col min="6" max="7" width="14.85546875" bestFit="1" customWidth="1"/>
    <col min="11" max="11" width="13.85546875" bestFit="1" customWidth="1"/>
    <col min="12" max="12" width="10.28515625" bestFit="1" customWidth="1"/>
    <col min="19" max="19" width="11.28515625" bestFit="1" customWidth="1"/>
    <col min="23" max="23" width="35" bestFit="1" customWidth="1"/>
    <col min="24" max="24" width="18.85546875" bestFit="1" customWidth="1"/>
  </cols>
  <sheetData>
    <row r="3" spans="2:24">
      <c r="B3" s="5" t="s">
        <v>57</v>
      </c>
      <c r="C3" s="56">
        <f>SUM(C5:C50)</f>
        <v>56746.76</v>
      </c>
      <c r="D3" s="77"/>
      <c r="F3" s="5" t="s">
        <v>55</v>
      </c>
      <c r="G3" s="5"/>
      <c r="H3" s="5"/>
      <c r="I3" s="5"/>
      <c r="J3" s="5"/>
      <c r="K3" s="5"/>
      <c r="L3" s="5"/>
      <c r="M3" s="5">
        <v>5.2999999999999998E-4</v>
      </c>
      <c r="N3" s="5">
        <v>0.18</v>
      </c>
      <c r="O3" s="5">
        <v>5.0000000000000001E-4</v>
      </c>
      <c r="P3" s="5">
        <f>10/10000000</f>
        <v>9.9999999999999995E-7</v>
      </c>
      <c r="Q3" s="5">
        <f>300/10000000</f>
        <v>3.0000000000000001E-5</v>
      </c>
      <c r="R3" s="5">
        <v>0</v>
      </c>
      <c r="S3" s="5"/>
      <c r="W3" s="5" t="s">
        <v>57</v>
      </c>
      <c r="X3" s="56">
        <f>SUM(X5:X50)</f>
        <v>194710.59152800002</v>
      </c>
    </row>
    <row r="4" spans="2:24" ht="30.75" customHeight="1">
      <c r="B4" s="1"/>
      <c r="C4" s="56">
        <f>+C3-C5</f>
        <v>-49257.24</v>
      </c>
      <c r="D4" s="77" t="s">
        <v>536</v>
      </c>
      <c r="F4" s="6" t="s">
        <v>19</v>
      </c>
      <c r="G4" s="6" t="s">
        <v>2</v>
      </c>
      <c r="H4" s="6" t="s">
        <v>1</v>
      </c>
      <c r="I4" s="6" t="s">
        <v>3</v>
      </c>
      <c r="J4" s="6" t="s">
        <v>23</v>
      </c>
      <c r="K4" s="6" t="s">
        <v>4</v>
      </c>
      <c r="L4" s="6" t="s">
        <v>5</v>
      </c>
      <c r="M4" s="6" t="s">
        <v>14</v>
      </c>
      <c r="N4" s="6" t="s">
        <v>9</v>
      </c>
      <c r="O4" s="6" t="s">
        <v>10</v>
      </c>
      <c r="P4" s="6" t="s">
        <v>11</v>
      </c>
      <c r="Q4" s="6" t="s">
        <v>12</v>
      </c>
      <c r="R4" s="6" t="s">
        <v>15</v>
      </c>
      <c r="S4" s="6"/>
      <c r="W4" s="1"/>
      <c r="X4" s="56">
        <f>+X3-X5</f>
        <v>106004.25152800002</v>
      </c>
    </row>
    <row r="5" spans="2:24">
      <c r="B5" s="1" t="s">
        <v>56</v>
      </c>
      <c r="C5" s="2">
        <v>106004</v>
      </c>
      <c r="D5" s="78"/>
      <c r="F5" s="2"/>
      <c r="G5" s="2">
        <f>SUM(K5:R5)</f>
        <v>3106.9999999999964</v>
      </c>
      <c r="H5" s="2"/>
      <c r="I5" s="2"/>
      <c r="J5" s="2"/>
      <c r="K5" s="2">
        <f>SUM(K6:K21)</f>
        <v>3357.9999999999964</v>
      </c>
      <c r="L5" s="2">
        <f t="shared" ref="L5:Q5" si="0">ROUND(SUM(L6:L21),0)</f>
        <v>-160</v>
      </c>
      <c r="M5" s="2">
        <f t="shared" si="0"/>
        <v>-59</v>
      </c>
      <c r="N5" s="2">
        <f t="shared" si="0"/>
        <v>0</v>
      </c>
      <c r="O5" s="2">
        <f t="shared" si="0"/>
        <v>-29</v>
      </c>
      <c r="P5" s="2">
        <f t="shared" si="0"/>
        <v>0</v>
      </c>
      <c r="Q5" s="2">
        <f t="shared" si="0"/>
        <v>-3</v>
      </c>
      <c r="R5" s="2">
        <f>R3</f>
        <v>0</v>
      </c>
      <c r="S5" s="2"/>
      <c r="W5" s="1" t="s">
        <v>56</v>
      </c>
      <c r="X5" s="2">
        <v>88706.34</v>
      </c>
    </row>
    <row r="6" spans="2:24">
      <c r="B6" s="79">
        <v>44470</v>
      </c>
      <c r="C6" s="2">
        <v>-11240</v>
      </c>
      <c r="D6" s="78"/>
      <c r="F6" s="9">
        <v>44434</v>
      </c>
      <c r="G6" s="4" t="s">
        <v>48</v>
      </c>
      <c r="H6" s="3" t="s">
        <v>6</v>
      </c>
      <c r="I6" s="2">
        <v>100</v>
      </c>
      <c r="J6" s="2">
        <v>28.05</v>
      </c>
      <c r="K6" s="2">
        <f>IF(H6="B",-1,1)*I6*J6</f>
        <v>-2805</v>
      </c>
      <c r="L6" s="2">
        <v>-20</v>
      </c>
      <c r="M6" s="2">
        <f>-ABS(K6)*$M$3</f>
        <v>-1.48665</v>
      </c>
      <c r="N6" s="2">
        <f>$N$2*(L6+M6)</f>
        <v>0</v>
      </c>
      <c r="O6" s="2">
        <f>-IF($H6="S",1,0)*ABS(K6)*$O$3</f>
        <v>0</v>
      </c>
      <c r="P6" s="2">
        <f>-$P$3*ABS(K6)</f>
        <v>-2.8049999999999998E-3</v>
      </c>
      <c r="Q6" s="2">
        <f>-$Q$3*ABS(K6)</f>
        <v>-8.4150000000000003E-2</v>
      </c>
      <c r="R6" s="2">
        <f>R5</f>
        <v>0</v>
      </c>
      <c r="S6" s="2">
        <f>SUM(K6:R6)</f>
        <v>-2826.573605</v>
      </c>
      <c r="W6" s="79">
        <v>44434</v>
      </c>
      <c r="X6" s="2">
        <v>3107</v>
      </c>
    </row>
    <row r="7" spans="2:24">
      <c r="B7" s="79">
        <f>WORKDAY(B6,1)</f>
        <v>44473</v>
      </c>
      <c r="C7" s="2">
        <v>-44160</v>
      </c>
      <c r="D7" s="78"/>
      <c r="F7" s="9">
        <v>44434</v>
      </c>
      <c r="G7" s="4" t="s">
        <v>48</v>
      </c>
      <c r="H7" s="3" t="s">
        <v>8</v>
      </c>
      <c r="I7" s="2">
        <v>100</v>
      </c>
      <c r="J7" s="2">
        <v>35</v>
      </c>
      <c r="K7" s="2">
        <f>IF(H7="B",-1,1)*I7*J7</f>
        <v>3500</v>
      </c>
      <c r="L7" s="2">
        <v>-20</v>
      </c>
      <c r="M7" s="2">
        <f>-ABS(K7)*$M$3</f>
        <v>-1.855</v>
      </c>
      <c r="N7" s="2">
        <f>$N$2*(L7+M7)</f>
        <v>0</v>
      </c>
      <c r="O7" s="2">
        <f>-IF($H7="S",1,0)*ABS(K7)*$O$3</f>
        <v>-1.75</v>
      </c>
      <c r="P7" s="2">
        <f>-$P$3*ABS(K7)</f>
        <v>-3.4999999999999996E-3</v>
      </c>
      <c r="Q7" s="2">
        <f>-$Q$3*ABS(K7)</f>
        <v>-0.105</v>
      </c>
      <c r="R7" s="2">
        <f t="shared" ref="R7:R13" si="1">R5</f>
        <v>0</v>
      </c>
      <c r="S7" s="2">
        <f>SUM(K7:R7)</f>
        <v>3476.2865000000002</v>
      </c>
      <c r="W7" s="79">
        <v>44435</v>
      </c>
      <c r="X7" s="2">
        <v>-1870</v>
      </c>
    </row>
    <row r="8" spans="2:24">
      <c r="B8" s="79">
        <f t="shared" ref="B8:B26" si="2">WORKDAY(B7,1)</f>
        <v>44474</v>
      </c>
      <c r="C8" s="2">
        <v>6142.76</v>
      </c>
      <c r="D8" s="78"/>
      <c r="F8" s="9">
        <v>44434</v>
      </c>
      <c r="G8" s="4" t="s">
        <v>54</v>
      </c>
      <c r="H8" s="3" t="s">
        <v>6</v>
      </c>
      <c r="I8" s="2">
        <v>100</v>
      </c>
      <c r="J8" s="2">
        <v>125</v>
      </c>
      <c r="K8" s="2">
        <f t="shared" ref="K8:K13" si="3">IF(H8="B",-1,1)*I8*J8</f>
        <v>-12500</v>
      </c>
      <c r="L8" s="2">
        <v>-20</v>
      </c>
      <c r="M8" s="2">
        <f t="shared" ref="M8:M13" si="4">-ABS(K8)*$M$3</f>
        <v>-6.625</v>
      </c>
      <c r="N8" s="2">
        <f t="shared" ref="N8:N13" si="5">$N$2*(L8+M8)</f>
        <v>0</v>
      </c>
      <c r="O8" s="2">
        <f t="shared" ref="O8:O13" si="6">-IF($H8="S",1,0)*ABS(K8)*$O$3</f>
        <v>0</v>
      </c>
      <c r="P8" s="2">
        <f t="shared" ref="P8:P13" si="7">-$P$3*ABS(K8)</f>
        <v>-1.2499999999999999E-2</v>
      </c>
      <c r="Q8" s="2">
        <f t="shared" ref="Q8:Q13" si="8">-$Q$3*ABS(K8)</f>
        <v>-0.375</v>
      </c>
      <c r="R8" s="2">
        <f t="shared" si="1"/>
        <v>0</v>
      </c>
      <c r="S8" s="2">
        <f t="shared" ref="S8:S13" si="9">SUM(K8:R8)</f>
        <v>-12527.012500000001</v>
      </c>
      <c r="W8" s="79">
        <v>44438</v>
      </c>
      <c r="X8" s="2">
        <v>4550</v>
      </c>
    </row>
    <row r="9" spans="2:24">
      <c r="B9" s="79">
        <f t="shared" si="2"/>
        <v>44475</v>
      </c>
      <c r="C9" s="2"/>
      <c r="D9" s="78"/>
      <c r="F9" s="9">
        <v>44434</v>
      </c>
      <c r="G9" s="4" t="s">
        <v>54</v>
      </c>
      <c r="H9" s="3" t="s">
        <v>8</v>
      </c>
      <c r="I9" s="2">
        <v>100</v>
      </c>
      <c r="J9" s="2">
        <v>135.97999999999999</v>
      </c>
      <c r="K9" s="2">
        <f t="shared" si="3"/>
        <v>13597.999999999998</v>
      </c>
      <c r="L9" s="2">
        <v>-20</v>
      </c>
      <c r="M9" s="2">
        <f t="shared" si="4"/>
        <v>-7.2069399999999986</v>
      </c>
      <c r="N9" s="2">
        <f t="shared" si="5"/>
        <v>0</v>
      </c>
      <c r="O9" s="2">
        <f t="shared" si="6"/>
        <v>-6.7989999999999995</v>
      </c>
      <c r="P9" s="2">
        <f t="shared" si="7"/>
        <v>-1.3597999999999997E-2</v>
      </c>
      <c r="Q9" s="2">
        <f t="shared" si="8"/>
        <v>-0.40793999999999997</v>
      </c>
      <c r="R9" s="2">
        <f t="shared" si="1"/>
        <v>0</v>
      </c>
      <c r="S9" s="2">
        <f t="shared" si="9"/>
        <v>13563.572521999999</v>
      </c>
      <c r="W9" s="79">
        <v>44439</v>
      </c>
      <c r="X9" s="2">
        <v>13983</v>
      </c>
    </row>
    <row r="10" spans="2:24">
      <c r="B10" s="79">
        <f t="shared" si="2"/>
        <v>44476</v>
      </c>
      <c r="C10" s="2"/>
      <c r="D10" s="78"/>
      <c r="F10" s="9">
        <v>44434</v>
      </c>
      <c r="G10" s="4" t="s">
        <v>54</v>
      </c>
      <c r="H10" s="3" t="s">
        <v>6</v>
      </c>
      <c r="I10" s="2">
        <v>100</v>
      </c>
      <c r="J10" s="2">
        <v>155</v>
      </c>
      <c r="K10" s="2">
        <f t="shared" si="3"/>
        <v>-15500</v>
      </c>
      <c r="L10" s="2">
        <v>-20</v>
      </c>
      <c r="M10" s="2">
        <f t="shared" si="4"/>
        <v>-8.2149999999999999</v>
      </c>
      <c r="N10" s="2">
        <f t="shared" si="5"/>
        <v>0</v>
      </c>
      <c r="O10" s="2">
        <f t="shared" si="6"/>
        <v>0</v>
      </c>
      <c r="P10" s="2">
        <f t="shared" si="7"/>
        <v>-1.55E-2</v>
      </c>
      <c r="Q10" s="2">
        <f t="shared" si="8"/>
        <v>-0.46500000000000002</v>
      </c>
      <c r="R10" s="2">
        <f t="shared" si="1"/>
        <v>0</v>
      </c>
      <c r="S10" s="2">
        <f t="shared" si="9"/>
        <v>-15528.6955</v>
      </c>
      <c r="W10" s="79">
        <v>44440</v>
      </c>
      <c r="X10" s="2">
        <v>37366.519999999997</v>
      </c>
    </row>
    <row r="11" spans="2:24">
      <c r="B11" s="79">
        <f t="shared" si="2"/>
        <v>44477</v>
      </c>
      <c r="C11" s="2"/>
      <c r="D11" s="78"/>
      <c r="F11" s="9">
        <v>44434</v>
      </c>
      <c r="G11" s="4" t="s">
        <v>54</v>
      </c>
      <c r="H11" s="3" t="s">
        <v>8</v>
      </c>
      <c r="I11" s="2">
        <v>100</v>
      </c>
      <c r="J11" s="2">
        <v>147.25</v>
      </c>
      <c r="K11" s="2">
        <f t="shared" si="3"/>
        <v>14725</v>
      </c>
      <c r="L11" s="2">
        <v>-20</v>
      </c>
      <c r="M11" s="2">
        <f t="shared" si="4"/>
        <v>-7.8042499999999997</v>
      </c>
      <c r="N11" s="2">
        <f t="shared" si="5"/>
        <v>0</v>
      </c>
      <c r="O11" s="2">
        <f t="shared" si="6"/>
        <v>-7.3624999999999998</v>
      </c>
      <c r="P11" s="2">
        <f t="shared" si="7"/>
        <v>-1.4724999999999999E-2</v>
      </c>
      <c r="Q11" s="2">
        <f t="shared" si="8"/>
        <v>-0.44175000000000003</v>
      </c>
      <c r="R11" s="2">
        <f t="shared" si="1"/>
        <v>0</v>
      </c>
      <c r="S11" s="2">
        <f t="shared" si="9"/>
        <v>14689.376775000001</v>
      </c>
      <c r="W11" s="79">
        <v>44441</v>
      </c>
      <c r="X11" s="2">
        <v>8750.5815280000261</v>
      </c>
    </row>
    <row r="12" spans="2:24">
      <c r="B12" s="79">
        <f t="shared" si="2"/>
        <v>44480</v>
      </c>
      <c r="C12" s="2"/>
      <c r="D12" s="78"/>
      <c r="F12" s="9">
        <v>44434</v>
      </c>
      <c r="G12" s="4" t="s">
        <v>54</v>
      </c>
      <c r="H12" s="3" t="s">
        <v>6</v>
      </c>
      <c r="I12" s="2">
        <v>200</v>
      </c>
      <c r="J12" s="2">
        <v>117</v>
      </c>
      <c r="K12" s="2">
        <f t="shared" si="3"/>
        <v>-23400</v>
      </c>
      <c r="L12" s="2">
        <v>-20</v>
      </c>
      <c r="M12" s="2">
        <f t="shared" si="4"/>
        <v>-12.401999999999999</v>
      </c>
      <c r="N12" s="2">
        <f t="shared" si="5"/>
        <v>0</v>
      </c>
      <c r="O12" s="2">
        <f t="shared" si="6"/>
        <v>0</v>
      </c>
      <c r="P12" s="2">
        <f t="shared" si="7"/>
        <v>-2.3400000000000001E-2</v>
      </c>
      <c r="Q12" s="2">
        <f t="shared" si="8"/>
        <v>-0.70200000000000007</v>
      </c>
      <c r="R12" s="2">
        <f t="shared" si="1"/>
        <v>0</v>
      </c>
      <c r="S12" s="2">
        <f t="shared" si="9"/>
        <v>-23433.127399999998</v>
      </c>
      <c r="W12" s="79">
        <v>44442</v>
      </c>
      <c r="X12" s="2">
        <v>-9347</v>
      </c>
    </row>
    <row r="13" spans="2:24">
      <c r="B13" s="79">
        <f t="shared" si="2"/>
        <v>44481</v>
      </c>
      <c r="C13" s="2"/>
      <c r="D13" s="78"/>
      <c r="F13" s="9">
        <v>44434</v>
      </c>
      <c r="G13" s="4" t="s">
        <v>54</v>
      </c>
      <c r="H13" s="3" t="s">
        <v>8</v>
      </c>
      <c r="I13" s="2">
        <v>200</v>
      </c>
      <c r="J13" s="2">
        <v>128.69999999999999</v>
      </c>
      <c r="K13" s="2">
        <f t="shared" si="3"/>
        <v>25739.999999999996</v>
      </c>
      <c r="L13" s="2">
        <v>-20</v>
      </c>
      <c r="M13" s="2">
        <f t="shared" si="4"/>
        <v>-13.642199999999997</v>
      </c>
      <c r="N13" s="2">
        <f t="shared" si="5"/>
        <v>0</v>
      </c>
      <c r="O13" s="2">
        <f t="shared" si="6"/>
        <v>-12.87</v>
      </c>
      <c r="P13" s="2">
        <f t="shared" si="7"/>
        <v>-2.5739999999999996E-2</v>
      </c>
      <c r="Q13" s="2">
        <f t="shared" si="8"/>
        <v>-0.77219999999999989</v>
      </c>
      <c r="R13" s="2">
        <f t="shared" si="1"/>
        <v>0</v>
      </c>
      <c r="S13" s="2">
        <f t="shared" si="9"/>
        <v>25692.689859999999</v>
      </c>
      <c r="W13" s="79">
        <v>44445</v>
      </c>
      <c r="X13" s="2">
        <v>-6400</v>
      </c>
    </row>
    <row r="14" spans="2:24">
      <c r="B14" s="79">
        <f t="shared" si="2"/>
        <v>44482</v>
      </c>
      <c r="C14" s="2"/>
      <c r="D14" s="78"/>
      <c r="F14" s="4"/>
      <c r="G14" s="4"/>
      <c r="H14" s="3"/>
      <c r="I14" s="2"/>
      <c r="J14" s="2"/>
      <c r="K14" s="2"/>
      <c r="L14" s="2"/>
      <c r="M14" s="2"/>
      <c r="N14" s="2"/>
      <c r="O14" s="2"/>
      <c r="P14" s="2"/>
      <c r="Q14" s="2"/>
      <c r="R14" s="2"/>
      <c r="S14" s="2"/>
      <c r="W14" s="79">
        <v>44446</v>
      </c>
      <c r="X14" s="2">
        <v>9256.74</v>
      </c>
    </row>
    <row r="15" spans="2:24">
      <c r="B15" s="79">
        <f t="shared" si="2"/>
        <v>44483</v>
      </c>
      <c r="C15" s="2"/>
      <c r="D15" s="78"/>
      <c r="F15" s="4"/>
      <c r="G15" s="4"/>
      <c r="H15" s="3"/>
      <c r="I15" s="2"/>
      <c r="J15" s="2"/>
      <c r="K15" s="2"/>
      <c r="L15" s="2"/>
      <c r="M15" s="2"/>
      <c r="N15" s="2"/>
      <c r="O15" s="2"/>
      <c r="P15" s="2"/>
      <c r="Q15" s="2"/>
      <c r="R15" s="2"/>
      <c r="S15" s="2"/>
      <c r="W15" s="79">
        <v>44448</v>
      </c>
      <c r="X15" s="2">
        <v>2541.41</v>
      </c>
    </row>
    <row r="16" spans="2:24">
      <c r="B16" s="79">
        <f t="shared" si="2"/>
        <v>44484</v>
      </c>
      <c r="C16" s="2"/>
      <c r="D16" s="78"/>
      <c r="F16" s="4"/>
      <c r="G16" s="4"/>
      <c r="H16" s="3"/>
      <c r="I16" s="2"/>
      <c r="J16" s="2"/>
      <c r="K16" s="2"/>
      <c r="L16" s="2"/>
      <c r="M16" s="2"/>
      <c r="N16" s="2"/>
      <c r="O16" s="2"/>
      <c r="P16" s="2"/>
      <c r="Q16" s="2"/>
      <c r="R16" s="2"/>
      <c r="S16" s="2"/>
      <c r="W16" s="79">
        <v>44452</v>
      </c>
      <c r="X16" s="2">
        <v>5086</v>
      </c>
    </row>
    <row r="17" spans="2:24">
      <c r="B17" s="79">
        <f t="shared" si="2"/>
        <v>44487</v>
      </c>
      <c r="C17" s="2"/>
      <c r="D17" s="78"/>
      <c r="F17" s="4"/>
      <c r="G17" s="4"/>
      <c r="H17" s="3"/>
      <c r="I17" s="2"/>
      <c r="J17" s="2"/>
      <c r="K17" s="2"/>
      <c r="L17" s="2"/>
      <c r="M17" s="2"/>
      <c r="N17" s="2"/>
      <c r="O17" s="2"/>
      <c r="P17" s="2"/>
      <c r="Q17" s="2"/>
      <c r="R17" s="2"/>
      <c r="S17" s="2"/>
      <c r="W17" s="79">
        <v>44454</v>
      </c>
      <c r="X17" s="2">
        <v>-3621</v>
      </c>
    </row>
    <row r="18" spans="2:24">
      <c r="B18" s="79">
        <f t="shared" si="2"/>
        <v>44488</v>
      </c>
      <c r="C18" s="2"/>
      <c r="D18" s="78"/>
      <c r="F18" s="4"/>
      <c r="G18" s="4"/>
      <c r="H18" s="3"/>
      <c r="I18" s="2"/>
      <c r="J18" s="2"/>
      <c r="K18" s="2"/>
      <c r="L18" s="2"/>
      <c r="M18" s="2"/>
      <c r="N18" s="2"/>
      <c r="O18" s="2"/>
      <c r="P18" s="2"/>
      <c r="Q18" s="2"/>
      <c r="R18" s="2"/>
      <c r="S18" s="2"/>
      <c r="W18" s="79">
        <v>44455</v>
      </c>
      <c r="X18" s="2">
        <v>5290</v>
      </c>
    </row>
    <row r="19" spans="2:24">
      <c r="B19" s="79">
        <f t="shared" si="2"/>
        <v>44489</v>
      </c>
      <c r="C19" s="2"/>
      <c r="D19" s="78"/>
      <c r="F19" s="4"/>
      <c r="G19" s="4"/>
      <c r="H19" s="3"/>
      <c r="I19" s="2"/>
      <c r="J19" s="2"/>
      <c r="K19" s="2"/>
      <c r="L19" s="2"/>
      <c r="M19" s="2"/>
      <c r="N19" s="2"/>
      <c r="O19" s="2"/>
      <c r="P19" s="2"/>
      <c r="Q19" s="2"/>
      <c r="R19" s="2"/>
      <c r="S19" s="2"/>
      <c r="W19" s="79">
        <v>44456</v>
      </c>
      <c r="X19" s="2">
        <v>28524</v>
      </c>
    </row>
    <row r="20" spans="2:24">
      <c r="B20" s="79">
        <f t="shared" si="2"/>
        <v>44490</v>
      </c>
      <c r="C20" s="2"/>
      <c r="D20" s="78"/>
      <c r="F20" s="4"/>
      <c r="G20" s="4"/>
      <c r="H20" s="3"/>
      <c r="I20" s="2"/>
      <c r="J20" s="2"/>
      <c r="K20" s="2"/>
      <c r="L20" s="2"/>
      <c r="M20" s="2"/>
      <c r="N20" s="2"/>
      <c r="O20" s="2"/>
      <c r="P20" s="2"/>
      <c r="Q20" s="2"/>
      <c r="R20" s="2"/>
      <c r="S20" s="2"/>
      <c r="W20" s="79">
        <v>44459</v>
      </c>
      <c r="X20" s="2">
        <v>-10168</v>
      </c>
    </row>
    <row r="21" spans="2:24">
      <c r="B21" s="79">
        <f t="shared" si="2"/>
        <v>44491</v>
      </c>
      <c r="C21" s="2"/>
      <c r="D21" s="78"/>
      <c r="F21" s="4" t="s">
        <v>13</v>
      </c>
      <c r="G21" s="4" t="s">
        <v>13</v>
      </c>
      <c r="H21" s="3"/>
      <c r="I21" s="2"/>
      <c r="J21" s="2"/>
      <c r="K21" s="2"/>
      <c r="L21" s="2"/>
      <c r="M21" s="2"/>
      <c r="N21" s="2"/>
      <c r="O21" s="2"/>
      <c r="P21" s="2"/>
      <c r="Q21" s="2"/>
      <c r="R21" s="2"/>
      <c r="S21" s="2"/>
      <c r="W21" s="79">
        <v>44461</v>
      </c>
      <c r="X21" s="2">
        <v>2203</v>
      </c>
    </row>
    <row r="22" spans="2:24">
      <c r="B22" s="79">
        <f t="shared" si="2"/>
        <v>44494</v>
      </c>
      <c r="C22" s="2"/>
      <c r="D22" s="78"/>
      <c r="W22" s="79">
        <v>44462</v>
      </c>
      <c r="X22" s="2">
        <v>12191</v>
      </c>
    </row>
    <row r="23" spans="2:24">
      <c r="B23" s="79">
        <f t="shared" si="2"/>
        <v>44495</v>
      </c>
      <c r="C23" s="2"/>
      <c r="D23" s="78"/>
      <c r="W23" s="79">
        <v>44463</v>
      </c>
      <c r="X23" s="2">
        <v>7616</v>
      </c>
    </row>
    <row r="24" spans="2:24">
      <c r="B24" s="79">
        <f t="shared" si="2"/>
        <v>44496</v>
      </c>
      <c r="C24" s="2"/>
      <c r="D24" s="78"/>
      <c r="W24" s="79">
        <v>44466</v>
      </c>
      <c r="X24" s="2">
        <v>-10251</v>
      </c>
    </row>
    <row r="25" spans="2:24">
      <c r="B25" s="79">
        <f t="shared" si="2"/>
        <v>44497</v>
      </c>
      <c r="C25" s="2"/>
      <c r="D25" s="78"/>
      <c r="W25" s="79">
        <v>44467</v>
      </c>
      <c r="X25" s="2">
        <v>1412</v>
      </c>
    </row>
    <row r="26" spans="2:24">
      <c r="B26" s="79">
        <f t="shared" si="2"/>
        <v>44498</v>
      </c>
      <c r="C26" s="2"/>
      <c r="W26" s="79">
        <v>44468</v>
      </c>
      <c r="X26" s="2">
        <v>5784</v>
      </c>
    </row>
    <row r="27" spans="2:24">
      <c r="B27" s="79"/>
      <c r="C27" s="2"/>
    </row>
    <row r="28" spans="2:24">
      <c r="B28" s="79"/>
      <c r="C28" s="2"/>
    </row>
    <row r="29" spans="2:24">
      <c r="B29" s="79"/>
      <c r="C29" s="2"/>
    </row>
    <row r="30" spans="2:24">
      <c r="B30" s="79"/>
      <c r="C30" s="2"/>
    </row>
    <row r="31" spans="2:24">
      <c r="B31" s="79"/>
      <c r="C31" s="2"/>
    </row>
    <row r="32" spans="2:24">
      <c r="B32" s="79"/>
      <c r="C32" s="2"/>
    </row>
  </sheetData>
  <conditionalFormatting sqref="C3:D6 G5:R5 I6:R6 I14:R21 R5:R6">
    <cfRule type="cellIs" dxfId="169" priority="105" stopIfTrue="1" operator="lessThan">
      <formula>0</formula>
    </cfRule>
    <cfRule type="cellIs" dxfId="168" priority="106" stopIfTrue="1" operator="greaterThan">
      <formula>0</formula>
    </cfRule>
  </conditionalFormatting>
  <conditionalFormatting sqref="C3:D6">
    <cfRule type="cellIs" dxfId="167" priority="103" stopIfTrue="1" operator="lessThan">
      <formula>0</formula>
    </cfRule>
    <cfRule type="cellIs" dxfId="166" priority="104" stopIfTrue="1" operator="greaterThan">
      <formula>0</formula>
    </cfRule>
  </conditionalFormatting>
  <conditionalFormatting sqref="C7:D10 C12:D14 C16:D18 C21:D21 D19:D20">
    <cfRule type="cellIs" dxfId="165" priority="101" stopIfTrue="1" operator="lessThan">
      <formula>0</formula>
    </cfRule>
    <cfRule type="cellIs" dxfId="164" priority="102" stopIfTrue="1" operator="greaterThan">
      <formula>0</formula>
    </cfRule>
  </conditionalFormatting>
  <conditionalFormatting sqref="C7:D10 C12:D14 C16:D18 C21:D21 D19:D20">
    <cfRule type="cellIs" dxfId="163" priority="99" stopIfTrue="1" operator="lessThan">
      <formula>0</formula>
    </cfRule>
    <cfRule type="cellIs" dxfId="162" priority="100" stopIfTrue="1" operator="greaterThan">
      <formula>0</formula>
    </cfRule>
  </conditionalFormatting>
  <conditionalFormatting sqref="F5">
    <cfRule type="cellIs" dxfId="161" priority="85" stopIfTrue="1" operator="lessThan">
      <formula>0</formula>
    </cfRule>
    <cfRule type="cellIs" dxfId="160" priority="86" stopIfTrue="1" operator="greaterThan">
      <formula>0</formula>
    </cfRule>
  </conditionalFormatting>
  <conditionalFormatting sqref="F5">
    <cfRule type="cellIs" dxfId="159" priority="83" stopIfTrue="1" operator="lessThan">
      <formula>0</formula>
    </cfRule>
    <cfRule type="cellIs" dxfId="158" priority="84" stopIfTrue="1" operator="greaterThan">
      <formula>0</formula>
    </cfRule>
  </conditionalFormatting>
  <conditionalFormatting sqref="S5:S6 S14:S21">
    <cfRule type="cellIs" dxfId="157" priority="81" stopIfTrue="1" operator="lessThan">
      <formula>0</formula>
    </cfRule>
    <cfRule type="cellIs" dxfId="156" priority="82" stopIfTrue="1" operator="greaterThan">
      <formula>0</formula>
    </cfRule>
  </conditionalFormatting>
  <conditionalFormatting sqref="I7:R7">
    <cfRule type="cellIs" dxfId="155" priority="75" stopIfTrue="1" operator="lessThan">
      <formula>0</formula>
    </cfRule>
    <cfRule type="cellIs" dxfId="154" priority="76" stopIfTrue="1" operator="greaterThan">
      <formula>0</formula>
    </cfRule>
  </conditionalFormatting>
  <conditionalFormatting sqref="S7">
    <cfRule type="cellIs" dxfId="153" priority="73" stopIfTrue="1" operator="lessThan">
      <formula>0</formula>
    </cfRule>
    <cfRule type="cellIs" dxfId="152" priority="74" stopIfTrue="1" operator="greaterThan">
      <formula>0</formula>
    </cfRule>
  </conditionalFormatting>
  <conditionalFormatting sqref="I8:R13">
    <cfRule type="cellIs" dxfId="151" priority="71" stopIfTrue="1" operator="lessThan">
      <formula>0</formula>
    </cfRule>
    <cfRule type="cellIs" dxfId="150" priority="72" stopIfTrue="1" operator="greaterThan">
      <formula>0</formula>
    </cfRule>
  </conditionalFormatting>
  <conditionalFormatting sqref="S8:S13">
    <cfRule type="cellIs" dxfId="149" priority="69" stopIfTrue="1" operator="lessThan">
      <formula>0</formula>
    </cfRule>
    <cfRule type="cellIs" dxfId="148" priority="70" stopIfTrue="1" operator="greaterThan">
      <formula>0</formula>
    </cfRule>
  </conditionalFormatting>
  <conditionalFormatting sqref="C11:D11">
    <cfRule type="cellIs" dxfId="147" priority="67" stopIfTrue="1" operator="lessThan">
      <formula>0</formula>
    </cfRule>
    <cfRule type="cellIs" dxfId="146" priority="68" stopIfTrue="1" operator="greaterThan">
      <formula>0</formula>
    </cfRule>
  </conditionalFormatting>
  <conditionalFormatting sqref="C11:D11">
    <cfRule type="cellIs" dxfId="145" priority="65" stopIfTrue="1" operator="lessThan">
      <formula>0</formula>
    </cfRule>
    <cfRule type="cellIs" dxfId="144" priority="66" stopIfTrue="1" operator="greaterThan">
      <formula>0</formula>
    </cfRule>
  </conditionalFormatting>
  <conditionalFormatting sqref="C15:D18 C21:D22 D19:D20 C24:D25 D23 C25:C32">
    <cfRule type="cellIs" dxfId="143" priority="63" stopIfTrue="1" operator="lessThan">
      <formula>0</formula>
    </cfRule>
    <cfRule type="cellIs" dxfId="142" priority="64" stopIfTrue="1" operator="greaterThan">
      <formula>0</formula>
    </cfRule>
  </conditionalFormatting>
  <conditionalFormatting sqref="C15:D18 C21:D22 D19:D20 C24:D25 D23 C25:C32">
    <cfRule type="cellIs" dxfId="141" priority="61" stopIfTrue="1" operator="lessThan">
      <formula>0</formula>
    </cfRule>
    <cfRule type="cellIs" dxfId="140" priority="62" stopIfTrue="1" operator="greaterThan">
      <formula>0</formula>
    </cfRule>
  </conditionalFormatting>
  <conditionalFormatting sqref="C4:D4">
    <cfRule type="cellIs" dxfId="139" priority="59" operator="lessThan">
      <formula>0</formula>
    </cfRule>
    <cfRule type="cellIs" dxfId="138" priority="60" operator="greaterThan">
      <formula>0</formula>
    </cfRule>
  </conditionalFormatting>
  <conditionalFormatting sqref="C19">
    <cfRule type="cellIs" dxfId="137" priority="57" stopIfTrue="1" operator="lessThan">
      <formula>0</formula>
    </cfRule>
    <cfRule type="cellIs" dxfId="136" priority="58" stopIfTrue="1" operator="greaterThan">
      <formula>0</formula>
    </cfRule>
  </conditionalFormatting>
  <conditionalFormatting sqref="C19">
    <cfRule type="cellIs" dxfId="135" priority="55" stopIfTrue="1" operator="lessThan">
      <formula>0</formula>
    </cfRule>
    <cfRule type="cellIs" dxfId="134" priority="56" stopIfTrue="1" operator="greaterThan">
      <formula>0</formula>
    </cfRule>
  </conditionalFormatting>
  <conditionalFormatting sqref="C19">
    <cfRule type="cellIs" dxfId="133" priority="53" stopIfTrue="1" operator="lessThan">
      <formula>0</formula>
    </cfRule>
    <cfRule type="cellIs" dxfId="132" priority="54" stopIfTrue="1" operator="greaterThan">
      <formula>0</formula>
    </cfRule>
  </conditionalFormatting>
  <conditionalFormatting sqref="C19">
    <cfRule type="cellIs" dxfId="131" priority="51" stopIfTrue="1" operator="lessThan">
      <formula>0</formula>
    </cfRule>
    <cfRule type="cellIs" dxfId="130" priority="52" stopIfTrue="1" operator="greaterThan">
      <formula>0</formula>
    </cfRule>
  </conditionalFormatting>
  <conditionalFormatting sqref="C20">
    <cfRule type="cellIs" dxfId="129" priority="49" stopIfTrue="1" operator="lessThan">
      <formula>0</formula>
    </cfRule>
    <cfRule type="cellIs" dxfId="128" priority="50" stopIfTrue="1" operator="greaterThan">
      <formula>0</formula>
    </cfRule>
  </conditionalFormatting>
  <conditionalFormatting sqref="C20">
    <cfRule type="cellIs" dxfId="127" priority="47" stopIfTrue="1" operator="lessThan">
      <formula>0</formula>
    </cfRule>
    <cfRule type="cellIs" dxfId="126" priority="48" stopIfTrue="1" operator="greaterThan">
      <formula>0</formula>
    </cfRule>
  </conditionalFormatting>
  <conditionalFormatting sqref="C20">
    <cfRule type="cellIs" dxfId="125" priority="45" stopIfTrue="1" operator="lessThan">
      <formula>0</formula>
    </cfRule>
    <cfRule type="cellIs" dxfId="124" priority="46" stopIfTrue="1" operator="greaterThan">
      <formula>0</formula>
    </cfRule>
  </conditionalFormatting>
  <conditionalFormatting sqref="C20">
    <cfRule type="cellIs" dxfId="123" priority="43" stopIfTrue="1" operator="lessThan">
      <formula>0</formula>
    </cfRule>
    <cfRule type="cellIs" dxfId="122" priority="44" stopIfTrue="1" operator="greaterThan">
      <formula>0</formula>
    </cfRule>
  </conditionalFormatting>
  <conditionalFormatting sqref="C23">
    <cfRule type="cellIs" dxfId="121" priority="41" stopIfTrue="1" operator="lessThan">
      <formula>0</formula>
    </cfRule>
    <cfRule type="cellIs" dxfId="120" priority="42" stopIfTrue="1" operator="greaterThan">
      <formula>0</formula>
    </cfRule>
  </conditionalFormatting>
  <conditionalFormatting sqref="C23">
    <cfRule type="cellIs" dxfId="119" priority="39" stopIfTrue="1" operator="lessThan">
      <formula>0</formula>
    </cfRule>
    <cfRule type="cellIs" dxfId="118" priority="40" stopIfTrue="1" operator="greaterThan">
      <formula>0</formula>
    </cfRule>
  </conditionalFormatting>
  <conditionalFormatting sqref="X3:X6">
    <cfRule type="cellIs" dxfId="117" priority="37" stopIfTrue="1" operator="lessThan">
      <formula>0</formula>
    </cfRule>
    <cfRule type="cellIs" dxfId="116" priority="38" stopIfTrue="1" operator="greaterThan">
      <formula>0</formula>
    </cfRule>
  </conditionalFormatting>
  <conditionalFormatting sqref="X3:X6">
    <cfRule type="cellIs" dxfId="115" priority="35" stopIfTrue="1" operator="lessThan">
      <formula>0</formula>
    </cfRule>
    <cfRule type="cellIs" dxfId="114" priority="36" stopIfTrue="1" operator="greaterThan">
      <formula>0</formula>
    </cfRule>
  </conditionalFormatting>
  <conditionalFormatting sqref="X7:X10 X12:X14 X16:X18 X21">
    <cfRule type="cellIs" dxfId="113" priority="33" stopIfTrue="1" operator="lessThan">
      <formula>0</formula>
    </cfRule>
    <cfRule type="cellIs" dxfId="112" priority="34" stopIfTrue="1" operator="greaterThan">
      <formula>0</formula>
    </cfRule>
  </conditionalFormatting>
  <conditionalFormatting sqref="X7:X10 X12:X14 X16:X18 X21">
    <cfRule type="cellIs" dxfId="111" priority="31" stopIfTrue="1" operator="lessThan">
      <formula>0</formula>
    </cfRule>
    <cfRule type="cellIs" dxfId="110" priority="32" stopIfTrue="1" operator="greaterThan">
      <formula>0</formula>
    </cfRule>
  </conditionalFormatting>
  <conditionalFormatting sqref="X11">
    <cfRule type="cellIs" dxfId="109" priority="29" stopIfTrue="1" operator="lessThan">
      <formula>0</formula>
    </cfRule>
    <cfRule type="cellIs" dxfId="108" priority="30" stopIfTrue="1" operator="greaterThan">
      <formula>0</formula>
    </cfRule>
  </conditionalFormatting>
  <conditionalFormatting sqref="X11">
    <cfRule type="cellIs" dxfId="107" priority="27" stopIfTrue="1" operator="lessThan">
      <formula>0</formula>
    </cfRule>
    <cfRule type="cellIs" dxfId="106" priority="28" stopIfTrue="1" operator="greaterThan">
      <formula>0</formula>
    </cfRule>
  </conditionalFormatting>
  <conditionalFormatting sqref="X15:X18 X21:X22 X24:X26">
    <cfRule type="cellIs" dxfId="105" priority="25" stopIfTrue="1" operator="lessThan">
      <formula>0</formula>
    </cfRule>
    <cfRule type="cellIs" dxfId="104" priority="26" stopIfTrue="1" operator="greaterThan">
      <formula>0</formula>
    </cfRule>
  </conditionalFormatting>
  <conditionalFormatting sqref="X15:X18 X21:X22 X24:X26">
    <cfRule type="cellIs" dxfId="103" priority="23" stopIfTrue="1" operator="lessThan">
      <formula>0</formula>
    </cfRule>
    <cfRule type="cellIs" dxfId="102" priority="24" stopIfTrue="1" operator="greaterThan">
      <formula>0</formula>
    </cfRule>
  </conditionalFormatting>
  <conditionalFormatting sqref="X4">
    <cfRule type="cellIs" dxfId="101" priority="21" operator="lessThan">
      <formula>0</formula>
    </cfRule>
    <cfRule type="cellIs" dxfId="100" priority="22" operator="greaterThan">
      <formula>0</formula>
    </cfRule>
  </conditionalFormatting>
  <conditionalFormatting sqref="X19">
    <cfRule type="cellIs" dxfId="99" priority="19" stopIfTrue="1" operator="lessThan">
      <formula>0</formula>
    </cfRule>
    <cfRule type="cellIs" dxfId="98" priority="20" stopIfTrue="1" operator="greaterThan">
      <formula>0</formula>
    </cfRule>
  </conditionalFormatting>
  <conditionalFormatting sqref="X19">
    <cfRule type="cellIs" dxfId="97" priority="17" stopIfTrue="1" operator="lessThan">
      <formula>0</formula>
    </cfRule>
    <cfRule type="cellIs" dxfId="96" priority="18" stopIfTrue="1" operator="greaterThan">
      <formula>0</formula>
    </cfRule>
  </conditionalFormatting>
  <conditionalFormatting sqref="X19">
    <cfRule type="cellIs" dxfId="95" priority="15" stopIfTrue="1" operator="lessThan">
      <formula>0</formula>
    </cfRule>
    <cfRule type="cellIs" dxfId="94" priority="16" stopIfTrue="1" operator="greaterThan">
      <formula>0</formula>
    </cfRule>
  </conditionalFormatting>
  <conditionalFormatting sqref="X19">
    <cfRule type="cellIs" dxfId="93" priority="13" stopIfTrue="1" operator="lessThan">
      <formula>0</formula>
    </cfRule>
    <cfRule type="cellIs" dxfId="92" priority="14" stopIfTrue="1" operator="greaterThan">
      <formula>0</formula>
    </cfRule>
  </conditionalFormatting>
  <conditionalFormatting sqref="X20">
    <cfRule type="cellIs" dxfId="91" priority="11" stopIfTrue="1" operator="lessThan">
      <formula>0</formula>
    </cfRule>
    <cfRule type="cellIs" dxfId="90" priority="12" stopIfTrue="1" operator="greaterThan">
      <formula>0</formula>
    </cfRule>
  </conditionalFormatting>
  <conditionalFormatting sqref="X20">
    <cfRule type="cellIs" dxfId="89" priority="9" stopIfTrue="1" operator="lessThan">
      <formula>0</formula>
    </cfRule>
    <cfRule type="cellIs" dxfId="88" priority="10" stopIfTrue="1" operator="greaterThan">
      <formula>0</formula>
    </cfRule>
  </conditionalFormatting>
  <conditionalFormatting sqref="X20">
    <cfRule type="cellIs" dxfId="87" priority="7" stopIfTrue="1" operator="lessThan">
      <formula>0</formula>
    </cfRule>
    <cfRule type="cellIs" dxfId="86" priority="8" stopIfTrue="1" operator="greaterThan">
      <formula>0</formula>
    </cfRule>
  </conditionalFormatting>
  <conditionalFormatting sqref="X20">
    <cfRule type="cellIs" dxfId="85" priority="5" stopIfTrue="1" operator="lessThan">
      <formula>0</formula>
    </cfRule>
    <cfRule type="cellIs" dxfId="84" priority="6" stopIfTrue="1" operator="greaterThan">
      <formula>0</formula>
    </cfRule>
  </conditionalFormatting>
  <conditionalFormatting sqref="X23">
    <cfRule type="cellIs" dxfId="83" priority="3" stopIfTrue="1" operator="lessThan">
      <formula>0</formula>
    </cfRule>
    <cfRule type="cellIs" dxfId="82" priority="4" stopIfTrue="1" operator="greaterThan">
      <formula>0</formula>
    </cfRule>
  </conditionalFormatting>
  <conditionalFormatting sqref="X23">
    <cfRule type="cellIs" dxfId="81" priority="1" stopIfTrue="1" operator="lessThan">
      <formula>0</formula>
    </cfRule>
    <cfRule type="cellIs" dxfId="80" priority="2" stopIfTrue="1" operator="greaterThan">
      <formula>0</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T183"/>
  <sheetViews>
    <sheetView topLeftCell="B16" zoomScale="75" zoomScaleNormal="75" workbookViewId="0">
      <pane xSplit="3" topLeftCell="E1" activePane="topRight" state="frozen"/>
      <selection activeCell="B1" sqref="B1"/>
      <selection pane="topRight" activeCell="B44" sqref="B44"/>
    </sheetView>
  </sheetViews>
  <sheetFormatPr defaultRowHeight="15.75"/>
  <cols>
    <col min="1" max="1" width="9.140625" style="11"/>
    <col min="2" max="2" width="13.5703125" style="22" bestFit="1" customWidth="1"/>
    <col min="3" max="3" width="13.7109375" style="22" bestFit="1" customWidth="1"/>
    <col min="4" max="4" width="34.28515625" style="11" bestFit="1" customWidth="1"/>
    <col min="5" max="7" width="11.7109375" style="11" bestFit="1" customWidth="1"/>
    <col min="8" max="8" width="13.85546875" style="11" bestFit="1" customWidth="1"/>
    <col min="9" max="12" width="11.7109375" style="11" bestFit="1" customWidth="1"/>
    <col min="13" max="13" width="13.85546875" style="11" bestFit="1" customWidth="1"/>
    <col min="14" max="17" width="11.7109375" style="11" bestFit="1" customWidth="1"/>
    <col min="18" max="18" width="13.85546875" style="11" bestFit="1" customWidth="1"/>
    <col min="19" max="22" width="11.7109375" style="11" bestFit="1" customWidth="1"/>
    <col min="23" max="23" width="13.85546875" style="11" bestFit="1" customWidth="1"/>
    <col min="24" max="24" width="11.7109375" style="11" bestFit="1" customWidth="1"/>
    <col min="25" max="25" width="11.7109375" style="11" customWidth="1"/>
    <col min="26" max="41" width="11.7109375" style="11" bestFit="1" customWidth="1"/>
    <col min="42" max="45" width="9.140625" style="11"/>
    <col min="46" max="46" width="9.140625" style="108"/>
    <col min="47" max="16384" width="9.140625" style="11"/>
  </cols>
  <sheetData>
    <row r="1" spans="2:35">
      <c r="B1" s="24" t="s">
        <v>63</v>
      </c>
      <c r="C1" s="24"/>
      <c r="E1" s="10" t="s">
        <v>43</v>
      </c>
      <c r="F1" s="10"/>
      <c r="G1" s="10"/>
      <c r="H1" s="10"/>
      <c r="J1" s="10" t="s">
        <v>44</v>
      </c>
      <c r="K1" s="10"/>
      <c r="L1" s="10"/>
      <c r="M1" s="10"/>
      <c r="O1" s="10" t="s">
        <v>45</v>
      </c>
      <c r="P1" s="10"/>
      <c r="Q1" s="10"/>
      <c r="R1" s="10"/>
      <c r="T1" s="10" t="s">
        <v>46</v>
      </c>
      <c r="U1" s="10"/>
      <c r="V1" s="10"/>
      <c r="W1" s="10"/>
      <c r="Y1" s="10" t="s">
        <v>47</v>
      </c>
      <c r="Z1" s="10"/>
      <c r="AA1" s="10"/>
      <c r="AB1" s="10"/>
      <c r="AD1" s="10" t="s">
        <v>47</v>
      </c>
      <c r="AE1" s="10"/>
      <c r="AF1" s="10"/>
      <c r="AG1" s="10"/>
    </row>
    <row r="2" spans="2:35">
      <c r="B2" s="19" t="s">
        <v>66</v>
      </c>
      <c r="C2" s="31">
        <v>141986</v>
      </c>
      <c r="E2" s="12" t="s">
        <v>1</v>
      </c>
      <c r="F2" s="15" t="s">
        <v>6</v>
      </c>
      <c r="G2" s="12" t="s">
        <v>504</v>
      </c>
      <c r="H2" s="61">
        <v>0.05</v>
      </c>
      <c r="J2" s="12" t="s">
        <v>1</v>
      </c>
      <c r="K2" s="15" t="s">
        <v>6</v>
      </c>
      <c r="L2" s="12" t="s">
        <v>504</v>
      </c>
      <c r="M2" s="61">
        <f>H2</f>
        <v>0.05</v>
      </c>
      <c r="O2" s="12" t="s">
        <v>1</v>
      </c>
      <c r="P2" s="15" t="s">
        <v>6</v>
      </c>
      <c r="Q2" s="12" t="s">
        <v>504</v>
      </c>
      <c r="R2" s="61">
        <f>M2</f>
        <v>0.05</v>
      </c>
      <c r="T2" s="12" t="s">
        <v>1</v>
      </c>
      <c r="U2" s="15" t="s">
        <v>6</v>
      </c>
      <c r="V2" s="12" t="s">
        <v>504</v>
      </c>
      <c r="W2" s="61">
        <f>R2</f>
        <v>0.05</v>
      </c>
      <c r="Y2" s="12" t="s">
        <v>1</v>
      </c>
      <c r="Z2" s="15" t="s">
        <v>6</v>
      </c>
      <c r="AA2" s="12"/>
      <c r="AB2" s="61">
        <f>W2</f>
        <v>0.05</v>
      </c>
      <c r="AD2" s="12" t="s">
        <v>1</v>
      </c>
      <c r="AE2" s="15" t="s">
        <v>6</v>
      </c>
      <c r="AF2" s="12"/>
      <c r="AG2" s="61">
        <f>AB2</f>
        <v>0.05</v>
      </c>
    </row>
    <row r="3" spans="2:35">
      <c r="B3" s="19" t="s">
        <v>67</v>
      </c>
      <c r="C3" s="31">
        <f>C2-C10</f>
        <v>-83034</v>
      </c>
      <c r="E3" s="12" t="s">
        <v>21</v>
      </c>
      <c r="F3" s="15" t="s">
        <v>502</v>
      </c>
      <c r="G3" s="12" t="s">
        <v>481</v>
      </c>
      <c r="H3" s="13" t="str">
        <f>mrigxl_getIndexQuote(VLOOKUP(F3,Reference!$B$3:$H$6,5,0))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J3" s="12" t="s">
        <v>21</v>
      </c>
      <c r="K3" s="15" t="s">
        <v>502</v>
      </c>
      <c r="L3" s="12" t="s">
        <v>481</v>
      </c>
      <c r="M3" s="13" t="str">
        <f>H3</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N3" s="100" t="e">
        <f>M3/H3-1</f>
        <v>#VALUE!</v>
      </c>
      <c r="O3" s="12" t="s">
        <v>21</v>
      </c>
      <c r="P3" s="15" t="s">
        <v>502</v>
      </c>
      <c r="Q3" s="12" t="s">
        <v>482</v>
      </c>
      <c r="R3" s="13">
        <v>17618</v>
      </c>
      <c r="T3" s="12" t="s">
        <v>21</v>
      </c>
      <c r="U3" s="15" t="s">
        <v>541</v>
      </c>
      <c r="V3" s="12" t="s">
        <v>481</v>
      </c>
      <c r="W3" s="13">
        <f>R3</f>
        <v>17618</v>
      </c>
      <c r="Y3" s="12" t="s">
        <v>21</v>
      </c>
      <c r="Z3" s="15" t="s">
        <v>502</v>
      </c>
      <c r="AA3" s="12"/>
      <c r="AB3" s="13"/>
      <c r="AD3" s="12" t="s">
        <v>21</v>
      </c>
      <c r="AE3" s="15" t="s">
        <v>542</v>
      </c>
      <c r="AF3" s="12"/>
      <c r="AG3" s="13"/>
      <c r="AI3" s="107"/>
    </row>
    <row r="4" spans="2:35">
      <c r="B4" s="19"/>
      <c r="C4" s="20"/>
      <c r="E4" s="12" t="s">
        <v>22</v>
      </c>
      <c r="F4" s="15">
        <v>18000</v>
      </c>
      <c r="G4" s="58">
        <v>44497</v>
      </c>
      <c r="H4" s="13">
        <f ca="1">(G$4-TODAY())/365</f>
        <v>-1.8821917808219177</v>
      </c>
      <c r="J4" s="12" t="s">
        <v>22</v>
      </c>
      <c r="K4" s="15">
        <v>18000</v>
      </c>
      <c r="L4" s="58">
        <v>44497</v>
      </c>
      <c r="M4" s="13">
        <f ca="1">(L$4-TODAY())/365</f>
        <v>-1.8821917808219177</v>
      </c>
      <c r="O4" s="12" t="s">
        <v>22</v>
      </c>
      <c r="P4" s="15">
        <v>17000</v>
      </c>
      <c r="Q4" s="58">
        <v>44497</v>
      </c>
      <c r="R4" s="13">
        <f ca="1">(Q$4-TODAY())/365</f>
        <v>-1.8821917808219177</v>
      </c>
      <c r="T4" s="12" t="s">
        <v>22</v>
      </c>
      <c r="U4" s="15">
        <v>150</v>
      </c>
      <c r="V4" s="58">
        <v>44497</v>
      </c>
      <c r="W4" s="13">
        <f ca="1">(V$4-TODAY())/365</f>
        <v>-1.8821917808219177</v>
      </c>
      <c r="Y4" s="12" t="s">
        <v>22</v>
      </c>
      <c r="Z4" s="15">
        <v>17000</v>
      </c>
      <c r="AA4" s="12"/>
      <c r="AB4" s="13"/>
      <c r="AD4" s="12" t="s">
        <v>22</v>
      </c>
      <c r="AE4" s="15">
        <v>470</v>
      </c>
      <c r="AF4" s="12"/>
      <c r="AG4" s="13"/>
    </row>
    <row r="5" spans="2:35">
      <c r="B5" s="19"/>
      <c r="C5" s="31"/>
      <c r="E5" s="12" t="s">
        <v>23</v>
      </c>
      <c r="F5" s="26">
        <v>274</v>
      </c>
      <c r="G5" s="60" t="str">
        <f>mrigxl_getIndexOptionQuote(F3,G4,F4,G3)</f>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445, in getIndexOptionQuote
    quote = mu.getIndexOptionQuote(symbol,expiry,strike,opt_type)
  File "g:\mrig analytics\mriganalytics\interface\pyxcel.py", line 121, in mrigxl_getIndexOptionQuote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H5" s="59" t="e">
        <f>IF(G5&gt;0,(G$5-F$5)*F$8,0)</f>
        <v>#VALUE!</v>
      </c>
      <c r="J5" s="12" t="s">
        <v>23</v>
      </c>
      <c r="K5" s="26">
        <v>188</v>
      </c>
      <c r="L5" s="60" t="str">
        <f>G5</f>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445, in getIndexOptionQuote
    quote = mu.getIndexOptionQuote(symbol,expiry,strike,opt_type)
  File "g:\mrig analytics\mriganalytics\interface\pyxcel.py", line 121, in mrigxl_getIndexOptionQuote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M5" s="59" t="e">
        <f>IF(L5&gt;0,(L$5-K$5)*K$8,0)</f>
        <v>#VALUE!</v>
      </c>
      <c r="O5" s="12" t="s">
        <v>23</v>
      </c>
      <c r="P5" s="26">
        <v>165</v>
      </c>
      <c r="Q5" s="60" t="str">
        <f>mrigxl_getIndexOptionQuote(P3,Q4,P4,Q3)</f>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445, in getIndexOptionQuote
    quote = mu.getIndexOptionQuote(symbol,expiry,strike,opt_type)
  File "g:\mrig analytics\mriganalytics\interface\pyxcel.py", line 121, in mrigxl_getIndexOptionQuote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R5" s="59" t="e">
        <f>IF(Q5&gt;0,(Q$5-P$5)*P$8,0)</f>
        <v>#VALUE!</v>
      </c>
      <c r="T5" s="12" t="s">
        <v>23</v>
      </c>
      <c r="U5" s="26">
        <v>7.6</v>
      </c>
      <c r="V5" s="60" t="str">
        <f>mrigxl_getStockOptionQuote(U3,V4,U4,V3)</f>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394, in getStockOptionQuote
    quote = mu.getStockOptionQuote(symbol,expiry,strike,opt_type)
  File "g:\mrig analytics\mriganalytics\interface\pyxcel.py", line 110, in mrigxl_getStockOptionQuote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W5" s="59" t="e">
        <f>IF(V5&gt;0,(V$5-U$5)*U$8,0)</f>
        <v>#VALUE!</v>
      </c>
      <c r="Y5" s="12" t="s">
        <v>23</v>
      </c>
      <c r="Z5" s="26">
        <v>137</v>
      </c>
      <c r="AA5" s="12"/>
      <c r="AB5" s="59">
        <f>IF(AA5&gt;0,(AA$5-Z$5)*Z$8,0)</f>
        <v>0</v>
      </c>
      <c r="AD5" s="12" t="s">
        <v>23</v>
      </c>
      <c r="AE5" s="26">
        <v>12.9</v>
      </c>
      <c r="AF5" s="12"/>
      <c r="AG5" s="59">
        <f>IF(AF5&gt;0,(AF$5-AE$5)*AE$8,0)</f>
        <v>0</v>
      </c>
    </row>
    <row r="6" spans="2:35">
      <c r="B6" s="21" t="s">
        <v>51</v>
      </c>
      <c r="C6" s="28">
        <f>SUM(H6,M6,R6,W6,AB6,AG6)</f>
        <v>-42691.406255999995</v>
      </c>
      <c r="D6" s="11">
        <v>-29100</v>
      </c>
      <c r="E6" s="12" t="s">
        <v>49</v>
      </c>
      <c r="F6" s="26">
        <v>113.85</v>
      </c>
      <c r="G6" s="12" t="s">
        <v>51</v>
      </c>
      <c r="H6" s="25">
        <f>IF(AND(F8&lt;&gt;0,F6&lt;&gt;0),(F7-1)*F$10-H$27*2,0)</f>
        <v>-32149.141440000003</v>
      </c>
      <c r="J6" s="12" t="s">
        <v>49</v>
      </c>
      <c r="K6" s="26">
        <v>121</v>
      </c>
      <c r="L6" s="12" t="s">
        <v>51</v>
      </c>
      <c r="M6" s="25">
        <f>IF(AND(K8&lt;&gt;0,K6&lt;&gt;0),(K7-1)*K$10-M$27*2,0)</f>
        <v>-13496.561280000002</v>
      </c>
      <c r="O6" s="12" t="s">
        <v>49</v>
      </c>
      <c r="P6" s="26">
        <v>158</v>
      </c>
      <c r="Q6" s="12" t="s">
        <v>51</v>
      </c>
      <c r="R6" s="25">
        <f>IF(AND(P8&lt;&gt;0,P6&lt;&gt;0),(P7-1)*P$10-R$27*2,0)</f>
        <v>-1490.5224000000017</v>
      </c>
      <c r="T6" s="12" t="s">
        <v>49</v>
      </c>
      <c r="U6" s="26">
        <v>7.7</v>
      </c>
      <c r="V6" s="12" t="s">
        <v>51</v>
      </c>
      <c r="W6" s="25">
        <f>IF(AND(U8&lt;&gt;0,U6&lt;&gt;0),(U7-1)*U$10-W$27*2,0)</f>
        <v>645.97494400000892</v>
      </c>
      <c r="Y6" s="12" t="s">
        <v>49</v>
      </c>
      <c r="Z6" s="26">
        <v>150</v>
      </c>
      <c r="AA6" s="12" t="s">
        <v>51</v>
      </c>
      <c r="AB6" s="25">
        <f>IF(AND(Z8&lt;&gt;0,Z6&lt;&gt;0),(Z7-1)*Z$10-AB$27*2,0)</f>
        <v>3798.8439199999998</v>
      </c>
      <c r="AD6" s="12" t="s">
        <v>49</v>
      </c>
      <c r="AE6" s="26"/>
      <c r="AF6" s="12" t="s">
        <v>51</v>
      </c>
      <c r="AG6" s="25">
        <f>IF(AND(AE8&lt;&gt;0,AE6&lt;&gt;0),(AE7-1)*AE$10-AG$27*2,0)</f>
        <v>0</v>
      </c>
    </row>
    <row r="7" spans="2:35">
      <c r="B7" s="21" t="s">
        <v>52</v>
      </c>
      <c r="C7" s="98">
        <f>C6/AVERAGEIF(E10:AB10,"&gt;0",E10:AB10)</f>
        <v>-0.94861359559150282</v>
      </c>
      <c r="E7" s="12" t="s">
        <v>50</v>
      </c>
      <c r="F7" s="17">
        <f>F6/F$5</f>
        <v>0.41551094890510948</v>
      </c>
      <c r="G7" s="12" t="s">
        <v>52</v>
      </c>
      <c r="H7" s="14">
        <f>IF(F$8&lt;&gt;0,H6/F$10,0)</f>
        <v>-0.58666316496350368</v>
      </c>
      <c r="J7" s="12" t="s">
        <v>50</v>
      </c>
      <c r="K7" s="17">
        <f>K6/K$5</f>
        <v>0.6436170212765957</v>
      </c>
      <c r="L7" s="12" t="s">
        <v>52</v>
      </c>
      <c r="M7" s="14">
        <f>IF(K$8&lt;&gt;0,M6/K$10,0)</f>
        <v>-0.35895109787234047</v>
      </c>
      <c r="O7" s="12" t="s">
        <v>50</v>
      </c>
      <c r="P7" s="17">
        <f>P6/P$5</f>
        <v>0.95757575757575752</v>
      </c>
      <c r="Q7" s="12" t="s">
        <v>52</v>
      </c>
      <c r="R7" s="14">
        <f>IF(P$8&lt;&gt;0,R6/P$10,0)</f>
        <v>-4.5167345454545503E-2</v>
      </c>
      <c r="T7" s="12" t="s">
        <v>50</v>
      </c>
      <c r="U7" s="17">
        <f>U6/U$5</f>
        <v>1.0131578947368423</v>
      </c>
      <c r="V7" s="12" t="s">
        <v>52</v>
      </c>
      <c r="W7" s="14">
        <f>IF(U$8&lt;&gt;0,W6/U$10,0)</f>
        <v>1.103853287764882E-2</v>
      </c>
      <c r="Y7" s="12" t="s">
        <v>50</v>
      </c>
      <c r="Z7" s="17">
        <f>Z6/Z$5</f>
        <v>1.0948905109489051</v>
      </c>
      <c r="AA7" s="12" t="s">
        <v>52</v>
      </c>
      <c r="AB7" s="14">
        <f>IF(Z$8&lt;&gt;0,AB6/Z$10,0)</f>
        <v>9.2429292457420917E-2</v>
      </c>
      <c r="AD7" s="12" t="s">
        <v>50</v>
      </c>
      <c r="AE7" s="17">
        <f>AE6/AE$5</f>
        <v>0</v>
      </c>
      <c r="AF7" s="12" t="s">
        <v>52</v>
      </c>
      <c r="AG7" s="14">
        <f>IF(AE$8&lt;&gt;0,AG6/AE$10,0)</f>
        <v>0</v>
      </c>
    </row>
    <row r="8" spans="2:35">
      <c r="B8" s="21"/>
      <c r="C8" s="20"/>
      <c r="E8" s="12" t="s">
        <v>483</v>
      </c>
      <c r="F8" s="41">
        <v>200</v>
      </c>
      <c r="G8" s="12" t="s">
        <v>505</v>
      </c>
      <c r="H8" s="61">
        <v>0.16</v>
      </c>
      <c r="J8" s="12" t="s">
        <v>483</v>
      </c>
      <c r="K8" s="41">
        <v>200</v>
      </c>
      <c r="L8" s="12" t="s">
        <v>505</v>
      </c>
      <c r="M8" s="61">
        <v>0.14180000000000001</v>
      </c>
      <c r="O8" s="12" t="s">
        <v>483</v>
      </c>
      <c r="P8" s="15">
        <v>200</v>
      </c>
      <c r="Q8" s="12" t="s">
        <v>505</v>
      </c>
      <c r="R8" s="61">
        <v>0.18729999999999999</v>
      </c>
      <c r="T8" s="12" t="s">
        <v>483</v>
      </c>
      <c r="U8" s="15">
        <v>7700</v>
      </c>
      <c r="V8" s="12" t="s">
        <v>505</v>
      </c>
      <c r="W8" s="61">
        <v>0.16</v>
      </c>
      <c r="Y8" s="12" t="s">
        <v>483</v>
      </c>
      <c r="Z8" s="15">
        <v>300</v>
      </c>
      <c r="AA8" s="12" t="s">
        <v>505</v>
      </c>
      <c r="AB8" s="61">
        <v>0.12</v>
      </c>
      <c r="AD8" s="12" t="s">
        <v>483</v>
      </c>
      <c r="AE8" s="15">
        <v>3000</v>
      </c>
      <c r="AF8" s="12" t="s">
        <v>505</v>
      </c>
      <c r="AG8" s="61">
        <v>0.12</v>
      </c>
    </row>
    <row r="9" spans="2:35">
      <c r="B9" s="21"/>
      <c r="C9" s="20"/>
      <c r="E9" s="12" t="s">
        <v>34</v>
      </c>
      <c r="F9" s="15" t="s">
        <v>538</v>
      </c>
      <c r="G9" s="12" t="s">
        <v>145</v>
      </c>
      <c r="H9" s="62">
        <v>1.0699999999999999E-2</v>
      </c>
      <c r="J9" s="12" t="s">
        <v>34</v>
      </c>
      <c r="K9" s="15">
        <v>50</v>
      </c>
      <c r="L9" s="12" t="s">
        <v>145</v>
      </c>
      <c r="M9" s="62">
        <v>1.0699999999999999E-2</v>
      </c>
      <c r="O9" s="12" t="s">
        <v>34</v>
      </c>
      <c r="P9" s="15">
        <v>50</v>
      </c>
      <c r="Q9" s="12" t="s">
        <v>145</v>
      </c>
      <c r="R9" s="62">
        <v>1.0699999999999999E-2</v>
      </c>
      <c r="T9" s="12" t="s">
        <v>34</v>
      </c>
      <c r="U9" s="15">
        <v>50</v>
      </c>
      <c r="V9" s="12" t="s">
        <v>145</v>
      </c>
      <c r="W9" s="62">
        <v>1.0699999999999999E-2</v>
      </c>
      <c r="Y9" s="12" t="s">
        <v>34</v>
      </c>
      <c r="Z9" s="15">
        <v>50</v>
      </c>
      <c r="AA9" s="12" t="s">
        <v>145</v>
      </c>
      <c r="AB9" s="62">
        <v>1.0699999999999999E-2</v>
      </c>
      <c r="AD9" s="12" t="s">
        <v>34</v>
      </c>
      <c r="AE9" s="15">
        <v>50</v>
      </c>
      <c r="AF9" s="12" t="s">
        <v>145</v>
      </c>
      <c r="AG9" s="62">
        <v>1.0699999999999999E-2</v>
      </c>
    </row>
    <row r="10" spans="2:35">
      <c r="B10" s="21" t="s">
        <v>20</v>
      </c>
      <c r="C10" s="28">
        <f>SUM(F10,K10,P10,U10,Z10)</f>
        <v>225020</v>
      </c>
      <c r="E10" s="12" t="s">
        <v>20</v>
      </c>
      <c r="F10" s="16">
        <f>F$5*F$8</f>
        <v>54800</v>
      </c>
      <c r="G10" s="12"/>
      <c r="H10" s="13"/>
      <c r="J10" s="12" t="s">
        <v>20</v>
      </c>
      <c r="K10" s="16">
        <f>K$5*K$8</f>
        <v>37600</v>
      </c>
      <c r="L10" s="12"/>
      <c r="M10" s="13"/>
      <c r="O10" s="12" t="s">
        <v>20</v>
      </c>
      <c r="P10" s="16">
        <f>P$5*P$8</f>
        <v>33000</v>
      </c>
      <c r="Q10" s="12"/>
      <c r="R10" s="13"/>
      <c r="T10" s="12" t="s">
        <v>20</v>
      </c>
      <c r="U10" s="16">
        <f>U$5*U$8</f>
        <v>58520</v>
      </c>
      <c r="V10" s="12"/>
      <c r="W10" s="13"/>
      <c r="Y10" s="12" t="s">
        <v>20</v>
      </c>
      <c r="Z10" s="16">
        <f>Z$5*Z$8</f>
        <v>41100</v>
      </c>
      <c r="AA10" s="12"/>
      <c r="AB10" s="13"/>
      <c r="AD10" s="12" t="s">
        <v>20</v>
      </c>
      <c r="AE10" s="16">
        <f>AE$5*AE$8</f>
        <v>38700</v>
      </c>
      <c r="AF10" s="12"/>
      <c r="AG10" s="13"/>
    </row>
    <row r="11" spans="2:35">
      <c r="B11" s="21"/>
      <c r="C11" s="20"/>
      <c r="E11" s="12" t="s">
        <v>17</v>
      </c>
      <c r="F11" s="25">
        <f>(1+F12)*F$5</f>
        <v>260.3</v>
      </c>
      <c r="G11" s="12" t="s">
        <v>65</v>
      </c>
      <c r="H11" s="25">
        <f>1*F$8-H$27*2</f>
        <v>80.858560000000011</v>
      </c>
      <c r="J11" s="12" t="s">
        <v>17</v>
      </c>
      <c r="K11" s="25">
        <f>(1+K12)*K$5</f>
        <v>178.6</v>
      </c>
      <c r="L11" s="12" t="s">
        <v>65</v>
      </c>
      <c r="M11" s="25">
        <f>1*K$8-M$27*2</f>
        <v>103.43872000000002</v>
      </c>
      <c r="O11" s="12" t="s">
        <v>17</v>
      </c>
      <c r="P11" s="25">
        <f>(1+P12)*P$5</f>
        <v>158.4</v>
      </c>
      <c r="Q11" s="12" t="s">
        <v>65</v>
      </c>
      <c r="R11" s="25">
        <f>1*P$8-R$27*2</f>
        <v>109.47760000000001</v>
      </c>
      <c r="T11" s="12" t="s">
        <v>17</v>
      </c>
      <c r="U11" s="25">
        <f>(1+U12)*U$5</f>
        <v>7.22</v>
      </c>
      <c r="V11" s="12" t="s">
        <v>65</v>
      </c>
      <c r="W11" s="25">
        <f>1*U$8-W$27*2</f>
        <v>7575.9749439999996</v>
      </c>
      <c r="Y11" s="12" t="s">
        <v>17</v>
      </c>
      <c r="Z11" s="25">
        <f>(1+Z12)*Z$5</f>
        <v>130.15</v>
      </c>
      <c r="AA11" s="12" t="s">
        <v>65</v>
      </c>
      <c r="AB11" s="25">
        <f>1*Z$8-AB$27*2</f>
        <v>198.84392000000003</v>
      </c>
      <c r="AD11" s="12" t="s">
        <v>17</v>
      </c>
      <c r="AE11" s="25">
        <f>(1+AE12)*AE$5</f>
        <v>12.254999999999999</v>
      </c>
      <c r="AF11" s="12" t="s">
        <v>65</v>
      </c>
      <c r="AG11" s="25">
        <f>1*AE$8-AG$27*2</f>
        <v>2901.9946399999999</v>
      </c>
    </row>
    <row r="12" spans="2:35">
      <c r="B12" s="21"/>
      <c r="C12" s="20"/>
      <c r="E12" s="12" t="s">
        <v>28</v>
      </c>
      <c r="F12" s="30">
        <v>-0.05</v>
      </c>
      <c r="G12" s="12" t="s">
        <v>29</v>
      </c>
      <c r="H12" s="25">
        <f>F12*F$10-H$27*2</f>
        <v>-2859.1414399999999</v>
      </c>
      <c r="J12" s="12" t="s">
        <v>28</v>
      </c>
      <c r="K12" s="30">
        <v>-0.05</v>
      </c>
      <c r="L12" s="12" t="s">
        <v>29</v>
      </c>
      <c r="M12" s="25">
        <f>K12*K$10-M$27*2</f>
        <v>-1976.5612799999999</v>
      </c>
      <c r="O12" s="12" t="s">
        <v>28</v>
      </c>
      <c r="P12" s="30">
        <v>-0.04</v>
      </c>
      <c r="Q12" s="12" t="s">
        <v>29</v>
      </c>
      <c r="R12" s="25">
        <f>P12*P$10-R$27*2</f>
        <v>-1410.5224000000001</v>
      </c>
      <c r="T12" s="12" t="s">
        <v>28</v>
      </c>
      <c r="U12" s="30">
        <v>-0.05</v>
      </c>
      <c r="V12" s="12" t="s">
        <v>29</v>
      </c>
      <c r="W12" s="25">
        <f>U12*U$10-W$27*2</f>
        <v>-3050.0250559999999</v>
      </c>
      <c r="Y12" s="12" t="s">
        <v>28</v>
      </c>
      <c r="Z12" s="30">
        <v>-0.05</v>
      </c>
      <c r="AA12" s="12" t="s">
        <v>29</v>
      </c>
      <c r="AB12" s="25">
        <f>Z12*Z$10-AB$27*2</f>
        <v>-2156.1560800000002</v>
      </c>
      <c r="AD12" s="12" t="s">
        <v>28</v>
      </c>
      <c r="AE12" s="30">
        <v>-0.05</v>
      </c>
      <c r="AF12" s="12" t="s">
        <v>29</v>
      </c>
      <c r="AG12" s="25">
        <f>AE12*AE$10-AG$27*2</f>
        <v>-2033.0053599999999</v>
      </c>
    </row>
    <row r="13" spans="2:35">
      <c r="B13" s="21" t="s">
        <v>30</v>
      </c>
      <c r="C13" s="28">
        <f>SUM(H13,M13,R13,W13,AB13)</f>
        <v>12369.593744</v>
      </c>
      <c r="E13" s="12" t="s">
        <v>24</v>
      </c>
      <c r="F13" s="25">
        <f>(1+F14)*F$5</f>
        <v>287.7</v>
      </c>
      <c r="G13" s="12" t="s">
        <v>30</v>
      </c>
      <c r="H13" s="25">
        <f>(F14)*F$10-H$27*2</f>
        <v>2620.8585600000001</v>
      </c>
      <c r="J13" s="12" t="s">
        <v>24</v>
      </c>
      <c r="K13" s="25">
        <f>(1+K14)*K$5</f>
        <v>197.4</v>
      </c>
      <c r="L13" s="12" t="s">
        <v>30</v>
      </c>
      <c r="M13" s="25">
        <f>(K14)*K$10-M$27*2</f>
        <v>1783.4387200000001</v>
      </c>
      <c r="O13" s="12" t="s">
        <v>24</v>
      </c>
      <c r="P13" s="25">
        <f>(1+P14)*P$5</f>
        <v>181.50000000000003</v>
      </c>
      <c r="Q13" s="12" t="s">
        <v>30</v>
      </c>
      <c r="R13" s="25">
        <f>(P14)*P$10-R$27*2</f>
        <v>3209.4776000000002</v>
      </c>
      <c r="T13" s="12" t="s">
        <v>24</v>
      </c>
      <c r="U13" s="25">
        <f>(1+U14)*U$5</f>
        <v>7.9799999999999995</v>
      </c>
      <c r="V13" s="12" t="s">
        <v>30</v>
      </c>
      <c r="W13" s="25">
        <f>(U14)*U$10-W$27*2</f>
        <v>2801.9749440000001</v>
      </c>
      <c r="Y13" s="12" t="s">
        <v>24</v>
      </c>
      <c r="Z13" s="25">
        <f>(1+Z14)*Z$5</f>
        <v>143.85</v>
      </c>
      <c r="AA13" s="12" t="s">
        <v>30</v>
      </c>
      <c r="AB13" s="25">
        <f>(Z14)*Z$10-AB$27*2</f>
        <v>1953.84392</v>
      </c>
      <c r="AD13" s="12" t="s">
        <v>24</v>
      </c>
      <c r="AE13" s="25">
        <f>(1+AE14)*AE$5</f>
        <v>13.545000000000002</v>
      </c>
      <c r="AF13" s="12" t="s">
        <v>30</v>
      </c>
      <c r="AG13" s="25">
        <f>(AE14)*AE$10-AG$27*2</f>
        <v>1836.9946400000001</v>
      </c>
    </row>
    <row r="14" spans="2:35">
      <c r="B14" s="21" t="s">
        <v>36</v>
      </c>
      <c r="C14" s="23">
        <f>IF(C$10&lt;&gt;0,C13/C$10,0)</f>
        <v>5.4971085876810946E-2</v>
      </c>
      <c r="E14" s="12" t="s">
        <v>35</v>
      </c>
      <c r="F14" s="30">
        <v>0.05</v>
      </c>
      <c r="G14" s="12" t="s">
        <v>36</v>
      </c>
      <c r="H14" s="14">
        <f>IF(F$8&lt;&gt;0,H13/F$10,0)</f>
        <v>4.7825886131386865E-2</v>
      </c>
      <c r="J14" s="12" t="s">
        <v>35</v>
      </c>
      <c r="K14" s="30">
        <v>0.05</v>
      </c>
      <c r="L14" s="12" t="s">
        <v>36</v>
      </c>
      <c r="M14" s="14">
        <f>IF(K$8&lt;&gt;0,M13/K$10,0)</f>
        <v>4.7431880851063833E-2</v>
      </c>
      <c r="O14" s="12" t="s">
        <v>35</v>
      </c>
      <c r="P14" s="30">
        <v>0.1</v>
      </c>
      <c r="Q14" s="12" t="s">
        <v>36</v>
      </c>
      <c r="R14" s="14">
        <f>IF(P$8&lt;&gt;0,R13/P$10,0)</f>
        <v>9.7256896969696971E-2</v>
      </c>
      <c r="T14" s="12" t="s">
        <v>35</v>
      </c>
      <c r="U14" s="30">
        <v>0.05</v>
      </c>
      <c r="V14" s="12" t="s">
        <v>36</v>
      </c>
      <c r="W14" s="14">
        <f>IF(U$8&lt;&gt;0,W13/U$10,0)</f>
        <v>4.7880638140806564E-2</v>
      </c>
      <c r="Y14" s="12" t="s">
        <v>35</v>
      </c>
      <c r="Z14" s="30">
        <v>0.05</v>
      </c>
      <c r="AA14" s="12" t="s">
        <v>36</v>
      </c>
      <c r="AB14" s="14">
        <f>IF(Z$8&lt;&gt;0,AB13/Z$10,0)</f>
        <v>4.7538781508515815E-2</v>
      </c>
      <c r="AD14" s="12" t="s">
        <v>35</v>
      </c>
      <c r="AE14" s="30">
        <v>0.05</v>
      </c>
      <c r="AF14" s="12" t="s">
        <v>36</v>
      </c>
      <c r="AG14" s="14">
        <f>IF(AE$8&lt;&gt;0,AG13/AE$10,0)</f>
        <v>4.7467561757105946E-2</v>
      </c>
    </row>
    <row r="15" spans="2:35">
      <c r="B15" s="21" t="s">
        <v>31</v>
      </c>
      <c r="C15" s="28">
        <f>SUM(H15,M15,R15,W15,AB15)</f>
        <v>30750.593743999998</v>
      </c>
      <c r="E15" s="12" t="s">
        <v>25</v>
      </c>
      <c r="F15" s="25">
        <f>(1+F16)*F$5</f>
        <v>328.8</v>
      </c>
      <c r="G15" s="12" t="s">
        <v>31</v>
      </c>
      <c r="H15" s="25">
        <f>IF(ISNUMBER(F15),(F16)*F$10-H$27*2,0)</f>
        <v>10840.858560000001</v>
      </c>
      <c r="J15" s="12" t="s">
        <v>25</v>
      </c>
      <c r="K15" s="25">
        <f>(1+K16)*K$5</f>
        <v>206.8</v>
      </c>
      <c r="L15" s="12" t="s">
        <v>31</v>
      </c>
      <c r="M15" s="25">
        <f>IF(ISNUMBER(K15),(K16)*K$10-M$27*2,0)</f>
        <v>3663.4387200000001</v>
      </c>
      <c r="O15" s="12" t="s">
        <v>25</v>
      </c>
      <c r="P15" s="25">
        <f>(1+P16)*P$5</f>
        <v>198</v>
      </c>
      <c r="Q15" s="12" t="s">
        <v>31</v>
      </c>
      <c r="R15" s="25">
        <f>IF(ISNUMBER(P15),(P16)*P$10-R$27*2,0)</f>
        <v>6509.4776000000002</v>
      </c>
      <c r="T15" s="12" t="s">
        <v>25</v>
      </c>
      <c r="U15" s="25">
        <f>(1+U16)*U$5</f>
        <v>8.36</v>
      </c>
      <c r="V15" s="12" t="s">
        <v>31</v>
      </c>
      <c r="W15" s="25">
        <f>IF(ISNUMBER(U15),(U16)*U$10-W$27*2,0)</f>
        <v>5727.9749439999996</v>
      </c>
      <c r="Y15" s="12" t="s">
        <v>25</v>
      </c>
      <c r="Z15" s="25">
        <f>(1+Z16)*Z$5</f>
        <v>150.70000000000002</v>
      </c>
      <c r="AA15" s="12" t="s">
        <v>31</v>
      </c>
      <c r="AB15" s="25">
        <f>IF(ISNUMBER(Z15),(Z16)*Z$10-AB$27*2,0)</f>
        <v>4008.8439199999998</v>
      </c>
      <c r="AD15" s="12" t="s">
        <v>25</v>
      </c>
      <c r="AE15" s="25">
        <f>(1+AE16)*AE$5</f>
        <v>14.190000000000001</v>
      </c>
      <c r="AF15" s="12" t="s">
        <v>31</v>
      </c>
      <c r="AG15" s="25">
        <f>IF(ISNUMBER(AE15),(AE16)*AE$10-AG$27*2,0)</f>
        <v>3771.9946399999999</v>
      </c>
    </row>
    <row r="16" spans="2:35">
      <c r="B16" s="21" t="s">
        <v>36</v>
      </c>
      <c r="C16" s="23">
        <f>IF(C$10&lt;&gt;0,C15/C$10,0)</f>
        <v>0.13665715822593547</v>
      </c>
      <c r="E16" s="12" t="s">
        <v>37</v>
      </c>
      <c r="F16" s="30">
        <v>0.2</v>
      </c>
      <c r="G16" s="12" t="s">
        <v>38</v>
      </c>
      <c r="H16" s="14">
        <f>IF(F$8&lt;&gt;0,H15/F$10,0)</f>
        <v>0.19782588613138688</v>
      </c>
      <c r="J16" s="12" t="s">
        <v>37</v>
      </c>
      <c r="K16" s="30">
        <v>0.1</v>
      </c>
      <c r="L16" s="12" t="s">
        <v>38</v>
      </c>
      <c r="M16" s="14">
        <f>IF(K$8&lt;&gt;0,M15/K$10,0)</f>
        <v>9.7431880851063829E-2</v>
      </c>
      <c r="O16" s="12" t="s">
        <v>37</v>
      </c>
      <c r="P16" s="30">
        <v>0.2</v>
      </c>
      <c r="Q16" s="12" t="s">
        <v>38</v>
      </c>
      <c r="R16" s="14">
        <f>IF(P$8&lt;&gt;0,R15/P$10,0)</f>
        <v>0.19725689696969698</v>
      </c>
      <c r="T16" s="12" t="s">
        <v>37</v>
      </c>
      <c r="U16" s="30">
        <v>0.1</v>
      </c>
      <c r="V16" s="12" t="s">
        <v>38</v>
      </c>
      <c r="W16" s="14">
        <f>IF(U$8&lt;&gt;0,W15/U$10,0)</f>
        <v>9.7880638140806553E-2</v>
      </c>
      <c r="Y16" s="12" t="s">
        <v>37</v>
      </c>
      <c r="Z16" s="30">
        <v>0.1</v>
      </c>
      <c r="AA16" s="12" t="s">
        <v>38</v>
      </c>
      <c r="AB16" s="14">
        <f>IF(Z$8&lt;&gt;0,AB15/Z$10,0)</f>
        <v>9.7538781508515804E-2</v>
      </c>
      <c r="AD16" s="12" t="s">
        <v>37</v>
      </c>
      <c r="AE16" s="30">
        <v>0.1</v>
      </c>
      <c r="AF16" s="12" t="s">
        <v>38</v>
      </c>
      <c r="AG16" s="14">
        <f>IF(AE$8&lt;&gt;0,AG15/AE$10,0)</f>
        <v>9.7467561757105942E-2</v>
      </c>
    </row>
    <row r="17" spans="2:33">
      <c r="B17" s="21" t="s">
        <v>32</v>
      </c>
      <c r="C17" s="28">
        <f>SUM(H17,M17,R17,W17,AB17)</f>
        <v>51197.593743999998</v>
      </c>
      <c r="E17" s="12" t="s">
        <v>26</v>
      </c>
      <c r="F17" s="25">
        <f>(1+F18)*F$5</f>
        <v>356.2</v>
      </c>
      <c r="G17" s="12" t="s">
        <v>32</v>
      </c>
      <c r="H17" s="25">
        <f>IF(ISNUMBER(F17),(F18)*F$10-H$27*2,0)</f>
        <v>16320.858560000001</v>
      </c>
      <c r="J17" s="12" t="s">
        <v>26</v>
      </c>
      <c r="K17" s="25">
        <f>(1+K18)*K$5</f>
        <v>225.6</v>
      </c>
      <c r="L17" s="12" t="s">
        <v>32</v>
      </c>
      <c r="M17" s="25">
        <f>IF(ISNUMBER(K17),(K18)*K$10-M$27*2,0)</f>
        <v>7423.4387200000001</v>
      </c>
      <c r="O17" s="12" t="s">
        <v>26</v>
      </c>
      <c r="P17" s="25">
        <f>(1+P18)*P$5</f>
        <v>214.5</v>
      </c>
      <c r="Q17" s="12" t="s">
        <v>32</v>
      </c>
      <c r="R17" s="25">
        <f>IF(ISNUMBER(P17),(P18)*P$10-R$27*2,0)</f>
        <v>9809.4776000000002</v>
      </c>
      <c r="T17" s="12" t="s">
        <v>26</v>
      </c>
      <c r="U17" s="25">
        <f>(1+U18)*U$5</f>
        <v>9.1199999999999992</v>
      </c>
      <c r="V17" s="12" t="s">
        <v>32</v>
      </c>
      <c r="W17" s="25">
        <f>IF(ISNUMBER(U17),(U18)*U$10-W$27*2,0)</f>
        <v>11579.974944</v>
      </c>
      <c r="Y17" s="12" t="s">
        <v>26</v>
      </c>
      <c r="Z17" s="25">
        <f>(1+Z18)*Z$5</f>
        <v>157.54999999999998</v>
      </c>
      <c r="AA17" s="12" t="s">
        <v>32</v>
      </c>
      <c r="AB17" s="25">
        <f>IF(ISNUMBER(Z17),(Z18)*Z$10-AB$27*2,0)</f>
        <v>6063.8439200000003</v>
      </c>
      <c r="AD17" s="12" t="s">
        <v>26</v>
      </c>
      <c r="AE17" s="25">
        <f>(1+AE18)*AE$5</f>
        <v>14.834999999999999</v>
      </c>
      <c r="AF17" s="12" t="s">
        <v>32</v>
      </c>
      <c r="AG17" s="25">
        <f>IF(ISNUMBER(AE17),(AE18)*AE$10-AG$27*2,0)</f>
        <v>5706.9946399999999</v>
      </c>
    </row>
    <row r="18" spans="2:33">
      <c r="B18" s="21" t="s">
        <v>36</v>
      </c>
      <c r="C18" s="23">
        <f>IF(C$10&lt;&gt;0,C17/C$10,0)</f>
        <v>0.22752463667229578</v>
      </c>
      <c r="E18" s="12" t="s">
        <v>39</v>
      </c>
      <c r="F18" s="30">
        <v>0.3</v>
      </c>
      <c r="G18" s="12" t="s">
        <v>40</v>
      </c>
      <c r="H18" s="14">
        <f>IF(F$8&lt;&gt;0,H17/F$10,0)</f>
        <v>0.29782588613138689</v>
      </c>
      <c r="J18" s="12" t="s">
        <v>39</v>
      </c>
      <c r="K18" s="30">
        <v>0.2</v>
      </c>
      <c r="L18" s="12" t="s">
        <v>40</v>
      </c>
      <c r="M18" s="14">
        <f>IF(K$8&lt;&gt;0,M17/K$10,0)</f>
        <v>0.19743188085106383</v>
      </c>
      <c r="O18" s="12" t="s">
        <v>39</v>
      </c>
      <c r="P18" s="30">
        <v>0.3</v>
      </c>
      <c r="Q18" s="12" t="s">
        <v>40</v>
      </c>
      <c r="R18" s="14">
        <f>IF(P$8&lt;&gt;0,R17/P$10,0)</f>
        <v>0.29725689696969698</v>
      </c>
      <c r="T18" s="12" t="s">
        <v>39</v>
      </c>
      <c r="U18" s="30">
        <v>0.2</v>
      </c>
      <c r="V18" s="12" t="s">
        <v>40</v>
      </c>
      <c r="W18" s="14">
        <f>IF(U$8&lt;&gt;0,W17/U$10,0)</f>
        <v>0.19788063814080656</v>
      </c>
      <c r="Y18" s="12" t="s">
        <v>39</v>
      </c>
      <c r="Z18" s="30">
        <v>0.15</v>
      </c>
      <c r="AA18" s="12" t="s">
        <v>40</v>
      </c>
      <c r="AB18" s="14">
        <f>IF(Z$8&lt;&gt;0,AB17/Z$10,0)</f>
        <v>0.14753878150851582</v>
      </c>
      <c r="AD18" s="12" t="s">
        <v>39</v>
      </c>
      <c r="AE18" s="30">
        <v>0.15</v>
      </c>
      <c r="AF18" s="12" t="s">
        <v>40</v>
      </c>
      <c r="AG18" s="14">
        <f>IF(AE$8&lt;&gt;0,AG17/AE$10,0)</f>
        <v>0.14746756175710593</v>
      </c>
    </row>
    <row r="19" spans="2:33">
      <c r="B19" s="21" t="s">
        <v>33</v>
      </c>
      <c r="C19" s="28">
        <f>SUM(H19,M19,R19,W19,AB19)</f>
        <v>80424.593743999998</v>
      </c>
      <c r="E19" s="12" t="s">
        <v>27</v>
      </c>
      <c r="F19" s="25">
        <f>(1+F20)*F$5</f>
        <v>411</v>
      </c>
      <c r="G19" s="12" t="s">
        <v>33</v>
      </c>
      <c r="H19" s="25">
        <f>IF(ISNUMBER(F19),(F20)*F$10-H$27*2,0)</f>
        <v>27280.858560000001</v>
      </c>
      <c r="J19" s="12" t="s">
        <v>27</v>
      </c>
      <c r="K19" s="25">
        <f>(1+K20)*K$5</f>
        <v>244.4</v>
      </c>
      <c r="L19" s="12" t="s">
        <v>33</v>
      </c>
      <c r="M19" s="25">
        <f>IF(ISNUMBER(K19),(K20)*K$10-M$27*2,0)</f>
        <v>11183.43872</v>
      </c>
      <c r="O19" s="12" t="s">
        <v>27</v>
      </c>
      <c r="P19" s="25">
        <f>(1+P20)*P$5</f>
        <v>247.5</v>
      </c>
      <c r="Q19" s="12" t="s">
        <v>33</v>
      </c>
      <c r="R19" s="25">
        <f>IF(ISNUMBER(P19),(P20)*P$10-R$27*2,0)</f>
        <v>16409.477599999998</v>
      </c>
      <c r="T19" s="12" t="s">
        <v>27</v>
      </c>
      <c r="U19" s="25">
        <f>(1+U20)*U$5</f>
        <v>9.879999999999999</v>
      </c>
      <c r="V19" s="12" t="s">
        <v>33</v>
      </c>
      <c r="W19" s="25">
        <f>IF(ISNUMBER(U19),(U20)*U$10-W$27*2,0)</f>
        <v>17431.974944000001</v>
      </c>
      <c r="Y19" s="12" t="s">
        <v>27</v>
      </c>
      <c r="Z19" s="25">
        <f>(1+Z20)*Z$5</f>
        <v>164.4</v>
      </c>
      <c r="AA19" s="12" t="s">
        <v>33</v>
      </c>
      <c r="AB19" s="25">
        <f>IF(ISNUMBER(Z19),(Z20)*Z$10-AB$27*2,0)</f>
        <v>8118.8439200000003</v>
      </c>
      <c r="AD19" s="12" t="s">
        <v>27</v>
      </c>
      <c r="AE19" s="25">
        <f>(1+AE20)*AE$5</f>
        <v>15.48</v>
      </c>
      <c r="AF19" s="12" t="s">
        <v>33</v>
      </c>
      <c r="AG19" s="25">
        <f>IF(ISNUMBER(AE19),(AE20)*AE$10-AG$27*2,0)</f>
        <v>7641.9946399999999</v>
      </c>
    </row>
    <row r="20" spans="2:33">
      <c r="B20" s="21" t="s">
        <v>36</v>
      </c>
      <c r="C20" s="23">
        <f>IF(C$10&lt;&gt;0,C19/C$10,0)</f>
        <v>0.35741086900719937</v>
      </c>
      <c r="E20" s="12" t="s">
        <v>41</v>
      </c>
      <c r="F20" s="30">
        <v>0.5</v>
      </c>
      <c r="G20" s="12" t="s">
        <v>42</v>
      </c>
      <c r="H20" s="14">
        <f>IF(F$8&lt;&gt;0,H19/F$10,0)</f>
        <v>0.4978258861313869</v>
      </c>
      <c r="J20" s="12" t="s">
        <v>41</v>
      </c>
      <c r="K20" s="30">
        <v>0.3</v>
      </c>
      <c r="L20" s="12" t="s">
        <v>42</v>
      </c>
      <c r="M20" s="14">
        <f>IF(K$8&lt;&gt;0,M19/K$10,0)</f>
        <v>0.29743188085106381</v>
      </c>
      <c r="O20" s="12" t="s">
        <v>41</v>
      </c>
      <c r="P20" s="30">
        <v>0.5</v>
      </c>
      <c r="Q20" s="12" t="s">
        <v>42</v>
      </c>
      <c r="R20" s="14">
        <f>IF(P$8&lt;&gt;0,R19/P$10,0)</f>
        <v>0.49725689696969694</v>
      </c>
      <c r="T20" s="12" t="s">
        <v>41</v>
      </c>
      <c r="U20" s="30">
        <v>0.3</v>
      </c>
      <c r="V20" s="12" t="s">
        <v>42</v>
      </c>
      <c r="W20" s="14">
        <f>IF(U$8&lt;&gt;0,W19/U$10,0)</f>
        <v>0.29788063814080656</v>
      </c>
      <c r="Y20" s="12" t="s">
        <v>41</v>
      </c>
      <c r="Z20" s="30">
        <v>0.2</v>
      </c>
      <c r="AA20" s="12" t="s">
        <v>42</v>
      </c>
      <c r="AB20" s="14">
        <f>IF(Z$8&lt;&gt;0,AB19/Z$10,0)</f>
        <v>0.19753878150851581</v>
      </c>
      <c r="AD20" s="12" t="s">
        <v>41</v>
      </c>
      <c r="AE20" s="30">
        <v>0.2</v>
      </c>
      <c r="AF20" s="12" t="s">
        <v>42</v>
      </c>
      <c r="AG20" s="14">
        <f>IF(AE$8&lt;&gt;0,AG19/AE$10,0)</f>
        <v>0.19746756175710595</v>
      </c>
    </row>
    <row r="21" spans="2:33">
      <c r="B21" s="21"/>
      <c r="C21" s="20"/>
      <c r="E21" s="12" t="s">
        <v>62</v>
      </c>
      <c r="F21" s="26">
        <v>1</v>
      </c>
      <c r="G21" s="12" t="s">
        <v>503</v>
      </c>
      <c r="H21" s="25" t="e">
        <f ca="1">OptionPrice(LEFT(G3),H3,F4,H4,H2,H8,H9)</f>
        <v>#VALUE!</v>
      </c>
      <c r="J21" s="12" t="s">
        <v>62</v>
      </c>
      <c r="K21" s="26">
        <v>1</v>
      </c>
      <c r="L21" s="12" t="s">
        <v>503</v>
      </c>
      <c r="M21" s="25" t="e">
        <f ca="1">OptionPrice(LEFT(L3),M3,K4,M4,M2,M8,M9)</f>
        <v>#VALUE!</v>
      </c>
      <c r="O21" s="12" t="s">
        <v>62</v>
      </c>
      <c r="P21" s="26">
        <v>1</v>
      </c>
      <c r="Q21" s="12" t="s">
        <v>503</v>
      </c>
      <c r="R21" s="25" t="e">
        <f ca="1">OptionPrice(LEFT(Q3),R3,P4,R4,R2,R8,R9)</f>
        <v>#VALUE!</v>
      </c>
      <c r="T21" s="12" t="s">
        <v>62</v>
      </c>
      <c r="U21" s="26">
        <v>1</v>
      </c>
      <c r="V21" s="12" t="s">
        <v>503</v>
      </c>
      <c r="W21" s="25" t="e">
        <f ca="1">OptionPrice(LEFT(V3),W3,U4,W4,W2,W8,W9)</f>
        <v>#VALUE!</v>
      </c>
      <c r="Y21" s="12" t="s">
        <v>62</v>
      </c>
      <c r="Z21" s="26">
        <v>1</v>
      </c>
      <c r="AA21" s="12" t="s">
        <v>503</v>
      </c>
      <c r="AB21" s="25">
        <f>OptionPrice(LEFT(AA3),AB3,Z4,AB4,AB2,AB8,AB9)</f>
        <v>0</v>
      </c>
      <c r="AD21" s="12" t="s">
        <v>62</v>
      </c>
      <c r="AE21" s="26">
        <v>1</v>
      </c>
      <c r="AF21" s="12" t="s">
        <v>503</v>
      </c>
      <c r="AG21" s="25">
        <f>OptionPrice(LEFT(AF3),AG3,AE4,AG4,AG2,AG8,AG9)</f>
        <v>0</v>
      </c>
    </row>
    <row r="22" spans="2:33">
      <c r="B22" s="21"/>
      <c r="C22" s="20"/>
      <c r="E22" s="12" t="s">
        <v>58</v>
      </c>
      <c r="F22" s="26"/>
      <c r="G22" s="12" t="s">
        <v>500</v>
      </c>
      <c r="H22" s="14" t="e">
        <f>OptionDelta(LEFT(G3),H3,F4,H4,H2,H8,H9)</f>
        <v>#VALUE!</v>
      </c>
      <c r="J22" s="12" t="s">
        <v>58</v>
      </c>
      <c r="K22" s="26"/>
      <c r="L22" s="12" t="s">
        <v>500</v>
      </c>
      <c r="M22" s="14" t="e">
        <f>OptionDelta(LEFT(L3),M3,K4,M4,M2,M8,M9)</f>
        <v>#VALUE!</v>
      </c>
      <c r="O22" s="12" t="s">
        <v>58</v>
      </c>
      <c r="P22" s="26"/>
      <c r="Q22" s="12" t="s">
        <v>500</v>
      </c>
      <c r="R22" s="14" t="e">
        <f ca="1">OptionDelta(LEFT(Q3),R3,P4,R4,R2,R8,R9)</f>
        <v>#VALUE!</v>
      </c>
      <c r="T22" s="12" t="s">
        <v>58</v>
      </c>
      <c r="U22" s="26"/>
      <c r="V22" s="12" t="s">
        <v>500</v>
      </c>
      <c r="W22" s="14" t="e">
        <f ca="1">OptionDelta(LEFT(V3),W3,U4,W4,W2,W8,W9)</f>
        <v>#VALUE!</v>
      </c>
      <c r="Y22" s="12" t="s">
        <v>58</v>
      </c>
      <c r="Z22" s="26"/>
      <c r="AA22" s="12" t="s">
        <v>500</v>
      </c>
      <c r="AB22" s="14">
        <f>OptionDelta(LEFT(AA3),AB3,Z4,AB4,AB2,AB8,AB9)</f>
        <v>0</v>
      </c>
      <c r="AD22" s="12" t="s">
        <v>58</v>
      </c>
      <c r="AE22" s="26"/>
      <c r="AF22" s="12" t="s">
        <v>500</v>
      </c>
      <c r="AG22" s="14">
        <f>OptionDelta(LEFT(AF3),AG3,AE4,AG4,AG2,AG8,AG9)</f>
        <v>0</v>
      </c>
    </row>
    <row r="23" spans="2:33">
      <c r="B23" s="21"/>
      <c r="C23" s="20"/>
      <c r="E23" s="12" t="s">
        <v>59</v>
      </c>
      <c r="F23" s="17">
        <f>(1-F22/F$21)</f>
        <v>1</v>
      </c>
      <c r="G23" s="12" t="s">
        <v>75</v>
      </c>
      <c r="H23" s="25" t="e">
        <f ca="1">OptionTheta(LEFT(G3),H3,F4,H4,H2,H8,H9)</f>
        <v>#VALUE!</v>
      </c>
      <c r="J23" s="12" t="s">
        <v>59</v>
      </c>
      <c r="K23" s="17">
        <f>(1-K22/K$21)</f>
        <v>1</v>
      </c>
      <c r="L23" s="12" t="s">
        <v>75</v>
      </c>
      <c r="M23" s="25" t="e">
        <f ca="1">OptionTheta(LEFT(L3),M3,K4,M4,M2,M8,M9)</f>
        <v>#VALUE!</v>
      </c>
      <c r="O23" s="12" t="s">
        <v>59</v>
      </c>
      <c r="P23" s="17">
        <f>(1-P22/P$21)</f>
        <v>1</v>
      </c>
      <c r="Q23" s="12" t="s">
        <v>75</v>
      </c>
      <c r="R23" s="25" t="e">
        <f ca="1">OptionTheta(LEFT(Q3),R3,P4,R4,R2,R8,R9)</f>
        <v>#VALUE!</v>
      </c>
      <c r="T23" s="12" t="s">
        <v>59</v>
      </c>
      <c r="U23" s="17">
        <f>(1-U22/U$21)</f>
        <v>1</v>
      </c>
      <c r="V23" s="12" t="s">
        <v>75</v>
      </c>
      <c r="W23" s="25" t="e">
        <f ca="1">OptionTheta(LEFT(V3),W3,U4,W4,W2,W8,W9)</f>
        <v>#VALUE!</v>
      </c>
      <c r="Y23" s="12" t="s">
        <v>59</v>
      </c>
      <c r="Z23" s="17">
        <f>(1-Z22/Z$21)</f>
        <v>1</v>
      </c>
      <c r="AA23" s="12" t="s">
        <v>75</v>
      </c>
      <c r="AB23" s="25">
        <f>OptionTheta(LEFT(AA3),AB3,Z4,AB4,AB2,AB8,AB9)</f>
        <v>0</v>
      </c>
      <c r="AD23" s="12" t="s">
        <v>59</v>
      </c>
      <c r="AE23" s="17">
        <f>(1-AE22/AE$21)</f>
        <v>1</v>
      </c>
      <c r="AF23" s="12" t="s">
        <v>75</v>
      </c>
      <c r="AG23" s="25">
        <f>OptionTheta(LEFT(AF3),AG3,AE4,AG4,AG2,AG8,AG9)</f>
        <v>0</v>
      </c>
    </row>
    <row r="24" spans="2:33">
      <c r="B24" s="21"/>
      <c r="C24" s="20"/>
      <c r="E24" s="12" t="s">
        <v>60</v>
      </c>
      <c r="F24" s="26"/>
      <c r="G24" s="12" t="s">
        <v>77</v>
      </c>
      <c r="H24" s="14" t="e">
        <f>OptionGamma(H3,F4,H4,H2,H8,H9)</f>
        <v>#VALUE!</v>
      </c>
      <c r="J24" s="12" t="s">
        <v>60</v>
      </c>
      <c r="K24" s="26"/>
      <c r="L24" s="12" t="s">
        <v>77</v>
      </c>
      <c r="M24" s="14" t="e">
        <f>OptionGamma(M3,K4,M4,M2,M8,M9)</f>
        <v>#VALUE!</v>
      </c>
      <c r="O24" s="12" t="s">
        <v>60</v>
      </c>
      <c r="P24" s="26"/>
      <c r="Q24" s="12" t="s">
        <v>77</v>
      </c>
      <c r="R24" s="14" t="e">
        <f ca="1">OptionGamma(R3,P4,R4,R2,R8,R9)</f>
        <v>#VALUE!</v>
      </c>
      <c r="T24" s="12" t="s">
        <v>60</v>
      </c>
      <c r="U24" s="26"/>
      <c r="V24" s="12" t="s">
        <v>77</v>
      </c>
      <c r="W24" s="14" t="e">
        <f ca="1">OptionGamma(W3,U4,W4,W2,W8,W9)</f>
        <v>#VALUE!</v>
      </c>
      <c r="Y24" s="12" t="s">
        <v>60</v>
      </c>
      <c r="Z24" s="26"/>
      <c r="AA24" s="12" t="s">
        <v>77</v>
      </c>
      <c r="AB24" s="14" t="e">
        <f>OptionGamma(AB3,Z4,AB4,AB2,AB8,AB9)</f>
        <v>#VALUE!</v>
      </c>
      <c r="AD24" s="12" t="s">
        <v>60</v>
      </c>
      <c r="AE24" s="26"/>
      <c r="AF24" s="12" t="s">
        <v>77</v>
      </c>
      <c r="AG24" s="14" t="e">
        <f>OptionGamma(AG3,AE4,AG4,AG2,AG8,AG9)</f>
        <v>#VALUE!</v>
      </c>
    </row>
    <row r="25" spans="2:33">
      <c r="B25" s="21"/>
      <c r="C25" s="20"/>
      <c r="E25" s="12" t="s">
        <v>61</v>
      </c>
      <c r="F25" s="17">
        <f>(1-F24/F$21)</f>
        <v>1</v>
      </c>
      <c r="G25" s="12" t="s">
        <v>537</v>
      </c>
      <c r="H25" s="14" t="e">
        <f ca="1">ImpliedVolatility(LEFT(G3),H3,F4,H2,H4,H9,G5,12%)</f>
        <v>#VALUE!</v>
      </c>
      <c r="J25" s="12" t="s">
        <v>61</v>
      </c>
      <c r="K25" s="17">
        <f>(1-K24/K$21)</f>
        <v>1</v>
      </c>
      <c r="L25" s="12" t="s">
        <v>537</v>
      </c>
      <c r="M25" s="14" t="e">
        <f ca="1">ImpliedVolatility(LEFT(L3),M3,K4,M2,M4,M9,L5,12%)</f>
        <v>#VALUE!</v>
      </c>
      <c r="O25" s="12" t="s">
        <v>61</v>
      </c>
      <c r="P25" s="17">
        <f>(1-P24/P$21)</f>
        <v>1</v>
      </c>
      <c r="Q25" s="12" t="s">
        <v>537</v>
      </c>
      <c r="R25" s="14" t="e">
        <f ca="1">ImpliedVolatility(LEFT(Q3),R3,P4,R2,R4,R9,Q5,12%)</f>
        <v>#VALUE!</v>
      </c>
      <c r="T25" s="12" t="s">
        <v>61</v>
      </c>
      <c r="U25" s="17">
        <f>(1-U24/U$21)</f>
        <v>1</v>
      </c>
      <c r="V25" s="12" t="s">
        <v>537</v>
      </c>
      <c r="W25" s="14" t="e">
        <f ca="1">ImpliedVolatility(LEFT(V3),W3,U4,W2,W4,W9,V5,12%)</f>
        <v>#VALUE!</v>
      </c>
      <c r="Y25" s="12" t="s">
        <v>61</v>
      </c>
      <c r="Z25" s="17">
        <f>(1-Z24/Z$21)</f>
        <v>1</v>
      </c>
      <c r="AA25" s="12" t="s">
        <v>537</v>
      </c>
      <c r="AB25" s="14">
        <f>ImpliedVolatility(LEFT(AA3),AB3,Z4,AB2,AB4,AB9,AA5,12%)</f>
        <v>0.12</v>
      </c>
      <c r="AD25" s="12" t="s">
        <v>61</v>
      </c>
      <c r="AE25" s="17">
        <f>(1-AE24/AE$21)</f>
        <v>1</v>
      </c>
      <c r="AF25" s="12" t="s">
        <v>537</v>
      </c>
      <c r="AG25" s="14">
        <f>ImpliedVolatility(LEFT(AF3),AG3,AE4,AG2,AG4,AG9,AF5,12%)</f>
        <v>0.12</v>
      </c>
    </row>
    <row r="26" spans="2:33">
      <c r="B26" s="19"/>
      <c r="C26" s="20"/>
      <c r="E26" s="12" t="s">
        <v>5</v>
      </c>
      <c r="F26" s="27">
        <f>IF(F8&lt;&gt;0,20,0)</f>
        <v>20</v>
      </c>
      <c r="G26" s="12"/>
      <c r="H26" s="13"/>
      <c r="J26" s="12" t="s">
        <v>5</v>
      </c>
      <c r="K26" s="27">
        <f>IF(K8&lt;&gt;0,20,0)</f>
        <v>20</v>
      </c>
      <c r="L26" s="12"/>
      <c r="M26" s="13"/>
      <c r="O26" s="12" t="s">
        <v>5</v>
      </c>
      <c r="P26" s="27">
        <f>IF(P8&lt;&gt;0,20,0)</f>
        <v>20</v>
      </c>
      <c r="Q26" s="12"/>
      <c r="R26" s="13"/>
      <c r="T26" s="12" t="s">
        <v>5</v>
      </c>
      <c r="U26" s="27">
        <f>IF(U8&lt;&gt;0,20,0)</f>
        <v>20</v>
      </c>
      <c r="V26" s="12"/>
      <c r="W26" s="13"/>
      <c r="Y26" s="12" t="s">
        <v>5</v>
      </c>
      <c r="Z26" s="27">
        <f>IF(Z8&lt;&gt;0,20,0)</f>
        <v>20</v>
      </c>
      <c r="AA26" s="12"/>
      <c r="AB26" s="13"/>
      <c r="AD26" s="12" t="s">
        <v>5</v>
      </c>
      <c r="AE26" s="27">
        <f>IF(AE8&lt;&gt;0,20,0)</f>
        <v>20</v>
      </c>
      <c r="AF26" s="12"/>
      <c r="AG26" s="13"/>
    </row>
    <row r="27" spans="2:33">
      <c r="B27" s="19" t="s">
        <v>64</v>
      </c>
      <c r="C27" s="25">
        <f>SUM(H27,M27,R27,W27,AB27)</f>
        <v>265.70312799999999</v>
      </c>
      <c r="E27" s="12" t="s">
        <v>14</v>
      </c>
      <c r="F27" s="27">
        <f>0.053%*F$10</f>
        <v>29.044</v>
      </c>
      <c r="G27" s="12" t="s">
        <v>53</v>
      </c>
      <c r="H27" s="25">
        <f>SUM(F$26:F$31)</f>
        <v>59.570719999999994</v>
      </c>
      <c r="J27" s="12" t="s">
        <v>14</v>
      </c>
      <c r="K27" s="27">
        <f>0.053%*K$10</f>
        <v>19.928000000000001</v>
      </c>
      <c r="L27" s="12" t="s">
        <v>53</v>
      </c>
      <c r="M27" s="25">
        <f>SUM(K$26:K$31)</f>
        <v>48.280639999999991</v>
      </c>
      <c r="O27" s="12" t="s">
        <v>14</v>
      </c>
      <c r="P27" s="27">
        <f>0.053%*P$10</f>
        <v>17.489999999999998</v>
      </c>
      <c r="Q27" s="12" t="s">
        <v>53</v>
      </c>
      <c r="R27" s="25">
        <f>SUM(P$26:P$31)</f>
        <v>45.261199999999995</v>
      </c>
      <c r="T27" s="12" t="s">
        <v>14</v>
      </c>
      <c r="U27" s="27">
        <f>0.053%*U$10</f>
        <v>31.015599999999999</v>
      </c>
      <c r="V27" s="12" t="s">
        <v>53</v>
      </c>
      <c r="W27" s="25">
        <f>SUM(U$26:U$31)</f>
        <v>62.012528000000003</v>
      </c>
      <c r="Y27" s="12" t="s">
        <v>14</v>
      </c>
      <c r="Z27" s="27">
        <f>0.053%*Z$10</f>
        <v>21.782999999999998</v>
      </c>
      <c r="AA27" s="12" t="s">
        <v>53</v>
      </c>
      <c r="AB27" s="25">
        <f>SUM(Z$26:Z$31)</f>
        <v>50.578039999999994</v>
      </c>
      <c r="AD27" s="12" t="s">
        <v>14</v>
      </c>
      <c r="AE27" s="27">
        <f>0.053%*AE$10</f>
        <v>20.510999999999999</v>
      </c>
      <c r="AF27" s="12" t="s">
        <v>53</v>
      </c>
      <c r="AG27" s="25">
        <f>SUM(AE$26:AE$31)</f>
        <v>49.002679999999991</v>
      </c>
    </row>
    <row r="28" spans="2:33">
      <c r="B28" s="19"/>
      <c r="C28" s="20"/>
      <c r="E28" s="12" t="s">
        <v>9</v>
      </c>
      <c r="F28" s="27">
        <f>18%*(F26+F27)</f>
        <v>8.8279199999999989</v>
      </c>
      <c r="G28" s="12"/>
      <c r="H28" s="13"/>
      <c r="J28" s="12" t="s">
        <v>9</v>
      </c>
      <c r="K28" s="27">
        <f>18%*(K26+K27)</f>
        <v>7.1870399999999997</v>
      </c>
      <c r="L28" s="12"/>
      <c r="M28" s="13"/>
      <c r="O28" s="12" t="s">
        <v>9</v>
      </c>
      <c r="P28" s="27">
        <f>18%*(P26+P27)</f>
        <v>6.7481999999999989</v>
      </c>
      <c r="Q28" s="12"/>
      <c r="R28" s="13"/>
      <c r="T28" s="12" t="s">
        <v>9</v>
      </c>
      <c r="U28" s="27">
        <f>18%*(U26+U27)</f>
        <v>9.1828079999999996</v>
      </c>
      <c r="V28" s="12"/>
      <c r="W28" s="13"/>
      <c r="Y28" s="12" t="s">
        <v>9</v>
      </c>
      <c r="Z28" s="27">
        <f>18%*(Z26+Z27)</f>
        <v>7.5209399999999995</v>
      </c>
      <c r="AA28" s="12"/>
      <c r="AB28" s="13"/>
      <c r="AD28" s="12" t="s">
        <v>9</v>
      </c>
      <c r="AE28" s="27">
        <f>18%*(AE26+AE27)</f>
        <v>7.2919799999999988</v>
      </c>
      <c r="AF28" s="12"/>
      <c r="AG28" s="13"/>
    </row>
    <row r="29" spans="2:33">
      <c r="B29" s="19"/>
      <c r="C29" s="20"/>
      <c r="E29" s="12" t="s">
        <v>10</v>
      </c>
      <c r="F29" s="27">
        <f>0.05%*F$10*(IF(F$2="B",0,1))</f>
        <v>0</v>
      </c>
      <c r="G29" s="12"/>
      <c r="H29" s="13"/>
      <c r="J29" s="12" t="s">
        <v>10</v>
      </c>
      <c r="K29" s="27">
        <f>0.05%*K$10*(IF(K$2="B",0,1))</f>
        <v>0</v>
      </c>
      <c r="L29" s="12"/>
      <c r="M29" s="13"/>
      <c r="O29" s="12" t="s">
        <v>10</v>
      </c>
      <c r="P29" s="27">
        <f>0.05%*P$10*(IF(P$2="B",0,1))</f>
        <v>0</v>
      </c>
      <c r="Q29" s="12"/>
      <c r="R29" s="13"/>
      <c r="T29" s="12" t="s">
        <v>10</v>
      </c>
      <c r="U29" s="27">
        <f>0.05%*U$10*(IF(U$2="B",0,1))</f>
        <v>0</v>
      </c>
      <c r="V29" s="12"/>
      <c r="W29" s="13"/>
      <c r="Y29" s="12" t="s">
        <v>10</v>
      </c>
      <c r="Z29" s="27">
        <f>0.05%*Z$10*(IF(Z$2="B",0,1))</f>
        <v>0</v>
      </c>
      <c r="AA29" s="12"/>
      <c r="AB29" s="13"/>
      <c r="AD29" s="12" t="s">
        <v>10</v>
      </c>
      <c r="AE29" s="27">
        <f>0.05%*AE$10*(IF(AE$2="B",0,1))</f>
        <v>0</v>
      </c>
      <c r="AF29" s="12"/>
      <c r="AG29" s="13"/>
    </row>
    <row r="30" spans="2:33">
      <c r="B30" s="19"/>
      <c r="C30" s="20"/>
      <c r="E30" s="12" t="s">
        <v>11</v>
      </c>
      <c r="F30" s="27">
        <f>10/10000000*F$10</f>
        <v>5.4799999999999995E-2</v>
      </c>
      <c r="G30" s="12"/>
      <c r="H30" s="13"/>
      <c r="J30" s="12" t="s">
        <v>11</v>
      </c>
      <c r="K30" s="27">
        <f>10/10000000*K$10</f>
        <v>3.7600000000000001E-2</v>
      </c>
      <c r="L30" s="12"/>
      <c r="M30" s="13"/>
      <c r="O30" s="12" t="s">
        <v>11</v>
      </c>
      <c r="P30" s="27">
        <f>10/10000000*P$10</f>
        <v>3.3000000000000002E-2</v>
      </c>
      <c r="Q30" s="12"/>
      <c r="R30" s="13"/>
      <c r="T30" s="12" t="s">
        <v>11</v>
      </c>
      <c r="U30" s="27">
        <f>10/10000000*U$10</f>
        <v>5.8519999999999996E-2</v>
      </c>
      <c r="V30" s="12"/>
      <c r="W30" s="13"/>
      <c r="Y30" s="12" t="s">
        <v>11</v>
      </c>
      <c r="Z30" s="27">
        <f>10/10000000*Z$10</f>
        <v>4.1099999999999998E-2</v>
      </c>
      <c r="AA30" s="12"/>
      <c r="AB30" s="13"/>
      <c r="AD30" s="12" t="s">
        <v>11</v>
      </c>
      <c r="AE30" s="27">
        <f>10/10000000*AE$10</f>
        <v>3.8699999999999998E-2</v>
      </c>
      <c r="AF30" s="12"/>
      <c r="AG30" s="13"/>
    </row>
    <row r="31" spans="2:33">
      <c r="B31" s="19"/>
      <c r="C31" s="20"/>
      <c r="E31" s="12" t="s">
        <v>12</v>
      </c>
      <c r="F31" s="27">
        <f>300/10000000*F$10*(IF(F$2="B",1,0))</f>
        <v>1.6440000000000001</v>
      </c>
      <c r="G31" s="12"/>
      <c r="H31" s="13"/>
      <c r="J31" s="12" t="s">
        <v>12</v>
      </c>
      <c r="K31" s="27">
        <f>300/10000000*K$10*(IF(K$2="B",1,0))</f>
        <v>1.1280000000000001</v>
      </c>
      <c r="L31" s="12"/>
      <c r="M31" s="13"/>
      <c r="O31" s="12" t="s">
        <v>12</v>
      </c>
      <c r="P31" s="27">
        <f>300/10000000*P$10*(IF(P$2="B",1,0))</f>
        <v>0.99</v>
      </c>
      <c r="Q31" s="12"/>
      <c r="R31" s="13"/>
      <c r="T31" s="12" t="s">
        <v>12</v>
      </c>
      <c r="U31" s="27">
        <f>300/10000000*U$10*(IF(U$2="B",1,0))</f>
        <v>1.7556</v>
      </c>
      <c r="V31" s="12"/>
      <c r="W31" s="13"/>
      <c r="Y31" s="12" t="s">
        <v>12</v>
      </c>
      <c r="Z31" s="27">
        <f>300/10000000*Z$10*(IF(Z$2="B",1,0))</f>
        <v>1.2330000000000001</v>
      </c>
      <c r="AA31" s="12"/>
      <c r="AB31" s="13"/>
      <c r="AD31" s="12" t="s">
        <v>12</v>
      </c>
      <c r="AE31" s="27">
        <f>300/10000000*AE$10*(IF(AE$2="B",1,0))</f>
        <v>1.161</v>
      </c>
      <c r="AF31" s="12"/>
      <c r="AG31" s="13"/>
    </row>
    <row r="33" spans="2:41">
      <c r="E33" s="18">
        <v>0.97</v>
      </c>
    </row>
    <row r="34" spans="2:41">
      <c r="D34" s="99">
        <v>3.0000000000000001E-3</v>
      </c>
      <c r="E34" s="99"/>
      <c r="H34" s="18"/>
      <c r="K34" s="29"/>
      <c r="M34" s="18"/>
      <c r="P34" s="29"/>
      <c r="R34" s="18"/>
      <c r="U34" s="29"/>
      <c r="W34" s="18"/>
      <c r="Z34" s="29"/>
      <c r="AB34" s="18"/>
    </row>
    <row r="35" spans="2:41">
      <c r="B35" s="22" t="s">
        <v>548</v>
      </c>
      <c r="C35" s="22" t="str">
        <f>H3</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35" s="13" t="s">
        <v>79</v>
      </c>
      <c r="E35" s="104" t="e">
        <f>E33*C35</f>
        <v>#VALUE!</v>
      </c>
      <c r="F35" s="105" t="e">
        <f t="shared" ref="F35:AD35" si="0">E35*(1+$D$34)</f>
        <v>#VALUE!</v>
      </c>
      <c r="G35" s="105" t="e">
        <f t="shared" si="0"/>
        <v>#VALUE!</v>
      </c>
      <c r="H35" s="105" t="e">
        <f t="shared" si="0"/>
        <v>#VALUE!</v>
      </c>
      <c r="I35" s="105" t="e">
        <f t="shared" si="0"/>
        <v>#VALUE!</v>
      </c>
      <c r="J35" s="105" t="e">
        <f t="shared" si="0"/>
        <v>#VALUE!</v>
      </c>
      <c r="K35" s="105" t="e">
        <f t="shared" si="0"/>
        <v>#VALUE!</v>
      </c>
      <c r="L35" s="105" t="e">
        <f t="shared" si="0"/>
        <v>#VALUE!</v>
      </c>
      <c r="M35" s="105" t="e">
        <f t="shared" si="0"/>
        <v>#VALUE!</v>
      </c>
      <c r="N35" s="105" t="e">
        <f t="shared" si="0"/>
        <v>#VALUE!</v>
      </c>
      <c r="O35" s="105" t="e">
        <f t="shared" si="0"/>
        <v>#VALUE!</v>
      </c>
      <c r="P35" s="105" t="e">
        <f t="shared" si="0"/>
        <v>#VALUE!</v>
      </c>
      <c r="Q35" s="105" t="e">
        <f t="shared" si="0"/>
        <v>#VALUE!</v>
      </c>
      <c r="R35" s="105" t="e">
        <f t="shared" si="0"/>
        <v>#VALUE!</v>
      </c>
      <c r="S35" s="105" t="e">
        <f t="shared" si="0"/>
        <v>#VALUE!</v>
      </c>
      <c r="T35" s="105" t="e">
        <f t="shared" si="0"/>
        <v>#VALUE!</v>
      </c>
      <c r="U35" s="105" t="e">
        <f t="shared" si="0"/>
        <v>#VALUE!</v>
      </c>
      <c r="V35" s="105" t="e">
        <f t="shared" si="0"/>
        <v>#VALUE!</v>
      </c>
      <c r="W35" s="105" t="e">
        <f t="shared" si="0"/>
        <v>#VALUE!</v>
      </c>
      <c r="X35" s="105" t="e">
        <f t="shared" si="0"/>
        <v>#VALUE!</v>
      </c>
      <c r="Y35" s="105" t="e">
        <f t="shared" si="0"/>
        <v>#VALUE!</v>
      </c>
      <c r="Z35" s="105" t="e">
        <f t="shared" si="0"/>
        <v>#VALUE!</v>
      </c>
      <c r="AA35" s="105" t="e">
        <f t="shared" si="0"/>
        <v>#VALUE!</v>
      </c>
      <c r="AB35" s="105" t="e">
        <f t="shared" si="0"/>
        <v>#VALUE!</v>
      </c>
      <c r="AC35" s="105" t="e">
        <f t="shared" si="0"/>
        <v>#VALUE!</v>
      </c>
      <c r="AD35" s="105" t="e">
        <f t="shared" si="0"/>
        <v>#VALUE!</v>
      </c>
      <c r="AE35" s="105" t="e">
        <f t="shared" ref="AE35:AO35" si="1">AD35*(1+$D$34)</f>
        <v>#VALUE!</v>
      </c>
      <c r="AF35" s="105" t="e">
        <f t="shared" si="1"/>
        <v>#VALUE!</v>
      </c>
      <c r="AG35" s="105" t="e">
        <f t="shared" si="1"/>
        <v>#VALUE!</v>
      </c>
      <c r="AH35" s="105" t="e">
        <f t="shared" si="1"/>
        <v>#VALUE!</v>
      </c>
      <c r="AI35" s="105" t="e">
        <f t="shared" si="1"/>
        <v>#VALUE!</v>
      </c>
      <c r="AJ35" s="105" t="e">
        <f t="shared" si="1"/>
        <v>#VALUE!</v>
      </c>
      <c r="AK35" s="105" t="e">
        <f t="shared" si="1"/>
        <v>#VALUE!</v>
      </c>
      <c r="AL35" s="105" t="e">
        <f t="shared" si="1"/>
        <v>#VALUE!</v>
      </c>
      <c r="AM35" s="105" t="e">
        <f t="shared" si="1"/>
        <v>#VALUE!</v>
      </c>
      <c r="AN35" s="105" t="e">
        <f t="shared" si="1"/>
        <v>#VALUE!</v>
      </c>
      <c r="AO35" s="105" t="e">
        <f t="shared" si="1"/>
        <v>#VALUE!</v>
      </c>
    </row>
    <row r="36" spans="2:41">
      <c r="B36" s="22" t="s">
        <v>543</v>
      </c>
      <c r="C36" s="22">
        <v>-1</v>
      </c>
      <c r="D36" s="109">
        <f ca="1">WORKDAY(TODAY(),0)</f>
        <v>45184</v>
      </c>
      <c r="E36" s="122" t="e">
        <f>E35/$C$35-1</f>
        <v>#VALUE!</v>
      </c>
      <c r="F36" s="122" t="e">
        <f t="shared" ref="F36:AO36" si="2">F35/$C$35-1</f>
        <v>#VALUE!</v>
      </c>
      <c r="G36" s="122" t="e">
        <f t="shared" si="2"/>
        <v>#VALUE!</v>
      </c>
      <c r="H36" s="122" t="e">
        <f t="shared" si="2"/>
        <v>#VALUE!</v>
      </c>
      <c r="I36" s="122" t="e">
        <f t="shared" si="2"/>
        <v>#VALUE!</v>
      </c>
      <c r="J36" s="122" t="e">
        <f t="shared" si="2"/>
        <v>#VALUE!</v>
      </c>
      <c r="K36" s="122" t="e">
        <f t="shared" si="2"/>
        <v>#VALUE!</v>
      </c>
      <c r="L36" s="122" t="e">
        <f t="shared" si="2"/>
        <v>#VALUE!</v>
      </c>
      <c r="M36" s="122" t="e">
        <f t="shared" si="2"/>
        <v>#VALUE!</v>
      </c>
      <c r="N36" s="122" t="e">
        <f t="shared" si="2"/>
        <v>#VALUE!</v>
      </c>
      <c r="O36" s="122" t="e">
        <f t="shared" si="2"/>
        <v>#VALUE!</v>
      </c>
      <c r="P36" s="122" t="e">
        <f t="shared" si="2"/>
        <v>#VALUE!</v>
      </c>
      <c r="Q36" s="122" t="e">
        <f t="shared" si="2"/>
        <v>#VALUE!</v>
      </c>
      <c r="R36" s="122" t="e">
        <f t="shared" si="2"/>
        <v>#VALUE!</v>
      </c>
      <c r="S36" s="122" t="e">
        <f t="shared" si="2"/>
        <v>#VALUE!</v>
      </c>
      <c r="T36" s="122" t="e">
        <f t="shared" si="2"/>
        <v>#VALUE!</v>
      </c>
      <c r="U36" s="122" t="e">
        <f t="shared" si="2"/>
        <v>#VALUE!</v>
      </c>
      <c r="V36" s="122" t="e">
        <f t="shared" si="2"/>
        <v>#VALUE!</v>
      </c>
      <c r="W36" s="122" t="e">
        <f t="shared" si="2"/>
        <v>#VALUE!</v>
      </c>
      <c r="X36" s="122" t="e">
        <f t="shared" si="2"/>
        <v>#VALUE!</v>
      </c>
      <c r="Y36" s="122" t="e">
        <f t="shared" si="2"/>
        <v>#VALUE!</v>
      </c>
      <c r="Z36" s="122" t="e">
        <f t="shared" si="2"/>
        <v>#VALUE!</v>
      </c>
      <c r="AA36" s="122" t="e">
        <f t="shared" si="2"/>
        <v>#VALUE!</v>
      </c>
      <c r="AB36" s="122" t="e">
        <f t="shared" si="2"/>
        <v>#VALUE!</v>
      </c>
      <c r="AC36" s="122" t="e">
        <f t="shared" si="2"/>
        <v>#VALUE!</v>
      </c>
      <c r="AD36" s="122" t="e">
        <f t="shared" si="2"/>
        <v>#VALUE!</v>
      </c>
      <c r="AE36" s="122" t="e">
        <f t="shared" si="2"/>
        <v>#VALUE!</v>
      </c>
      <c r="AF36" s="122" t="e">
        <f t="shared" si="2"/>
        <v>#VALUE!</v>
      </c>
      <c r="AG36" s="122" t="e">
        <f t="shared" si="2"/>
        <v>#VALUE!</v>
      </c>
      <c r="AH36" s="122" t="e">
        <f t="shared" si="2"/>
        <v>#VALUE!</v>
      </c>
      <c r="AI36" s="122" t="e">
        <f t="shared" si="2"/>
        <v>#VALUE!</v>
      </c>
      <c r="AJ36" s="122" t="e">
        <f t="shared" si="2"/>
        <v>#VALUE!</v>
      </c>
      <c r="AK36" s="122" t="e">
        <f t="shared" si="2"/>
        <v>#VALUE!</v>
      </c>
      <c r="AL36" s="122" t="e">
        <f t="shared" si="2"/>
        <v>#VALUE!</v>
      </c>
      <c r="AM36" s="122" t="e">
        <f t="shared" si="2"/>
        <v>#VALUE!</v>
      </c>
      <c r="AN36" s="122" t="e">
        <f t="shared" si="2"/>
        <v>#VALUE!</v>
      </c>
      <c r="AO36" s="122" t="e">
        <f t="shared" si="2"/>
        <v>#VALUE!</v>
      </c>
    </row>
    <row r="37" spans="2:41">
      <c r="B37" s="22" t="s">
        <v>22</v>
      </c>
      <c r="C37" s="22">
        <v>18600</v>
      </c>
      <c r="D37" s="106">
        <f ca="1">D36</f>
        <v>45184</v>
      </c>
      <c r="E37" s="110">
        <f ca="1">IFERROR((OptionPrice(LEFT($C$42),E$35,$C$37,($C$38-$D37+1)/365,$C$39,$C$41,$C$40)-$C$43)*$C$44,0)</f>
        <v>0</v>
      </c>
      <c r="F37" s="110">
        <f t="shared" ref="F37:U52" ca="1" si="3">IFERROR((OptionPrice(LEFT($C$42),F$35,$C$37,($C$38-$D37+1)/365,$C$39,$C$41,$C$40)-$C$43)*$C$44,0)</f>
        <v>0</v>
      </c>
      <c r="G37" s="110">
        <f t="shared" ca="1" si="3"/>
        <v>0</v>
      </c>
      <c r="H37" s="110">
        <f t="shared" ca="1" si="3"/>
        <v>0</v>
      </c>
      <c r="I37" s="110">
        <f t="shared" ca="1" si="3"/>
        <v>0</v>
      </c>
      <c r="J37" s="110">
        <f t="shared" ca="1" si="3"/>
        <v>0</v>
      </c>
      <c r="K37" s="110">
        <f t="shared" ca="1" si="3"/>
        <v>0</v>
      </c>
      <c r="L37" s="110">
        <f t="shared" ca="1" si="3"/>
        <v>0</v>
      </c>
      <c r="M37" s="110">
        <f t="shared" ca="1" si="3"/>
        <v>0</v>
      </c>
      <c r="N37" s="110">
        <f t="shared" ca="1" si="3"/>
        <v>0</v>
      </c>
      <c r="O37" s="110">
        <f t="shared" ca="1" si="3"/>
        <v>0</v>
      </c>
      <c r="P37" s="110">
        <f t="shared" ca="1" si="3"/>
        <v>0</v>
      </c>
      <c r="Q37" s="110">
        <f t="shared" ca="1" si="3"/>
        <v>0</v>
      </c>
      <c r="R37" s="110">
        <f t="shared" ca="1" si="3"/>
        <v>0</v>
      </c>
      <c r="S37" s="110">
        <f t="shared" ca="1" si="3"/>
        <v>0</v>
      </c>
      <c r="T37" s="110">
        <f t="shared" ca="1" si="3"/>
        <v>0</v>
      </c>
      <c r="U37" s="110">
        <f t="shared" ca="1" si="3"/>
        <v>0</v>
      </c>
      <c r="V37" s="110">
        <f t="shared" ref="V37:AK52" ca="1" si="4">IFERROR((OptionPrice(LEFT($C$42),V$35,$C$37,($C$38-$D37+1)/365,$C$39,$C$41,$C$40)-$C$43)*$C$44,0)</f>
        <v>0</v>
      </c>
      <c r="W37" s="110">
        <f t="shared" ca="1" si="4"/>
        <v>0</v>
      </c>
      <c r="X37" s="110">
        <f t="shared" ca="1" si="4"/>
        <v>0</v>
      </c>
      <c r="Y37" s="110">
        <f t="shared" ca="1" si="4"/>
        <v>0</v>
      </c>
      <c r="Z37" s="110">
        <f t="shared" ca="1" si="4"/>
        <v>0</v>
      </c>
      <c r="AA37" s="110">
        <f t="shared" ca="1" si="4"/>
        <v>0</v>
      </c>
      <c r="AB37" s="110">
        <f t="shared" ca="1" si="4"/>
        <v>0</v>
      </c>
      <c r="AC37" s="110">
        <f t="shared" ca="1" si="4"/>
        <v>0</v>
      </c>
      <c r="AD37" s="110">
        <f t="shared" ca="1" si="4"/>
        <v>0</v>
      </c>
      <c r="AE37" s="110">
        <f t="shared" ca="1" si="4"/>
        <v>0</v>
      </c>
      <c r="AF37" s="110">
        <f t="shared" ca="1" si="4"/>
        <v>0</v>
      </c>
      <c r="AG37" s="110">
        <f t="shared" ca="1" si="4"/>
        <v>0</v>
      </c>
      <c r="AH37" s="110">
        <f t="shared" ca="1" si="4"/>
        <v>0</v>
      </c>
      <c r="AI37" s="110">
        <f t="shared" ca="1" si="4"/>
        <v>0</v>
      </c>
      <c r="AJ37" s="110">
        <f t="shared" ca="1" si="4"/>
        <v>0</v>
      </c>
      <c r="AK37" s="110">
        <f t="shared" ca="1" si="4"/>
        <v>0</v>
      </c>
      <c r="AL37" s="110">
        <f t="shared" ref="AL37:AO68" ca="1" si="5">IFERROR((OptionPrice(LEFT($C$42),AL$35,$C$37,($C$38-$D37+1)/365,$C$39,$C$41,$C$40)-$C$43)*$C$44,0)</f>
        <v>0</v>
      </c>
      <c r="AM37" s="110">
        <f t="shared" ca="1" si="5"/>
        <v>0</v>
      </c>
      <c r="AN37" s="110">
        <f t="shared" ca="1" si="5"/>
        <v>0</v>
      </c>
      <c r="AO37" s="110">
        <f t="shared" ca="1" si="5"/>
        <v>0</v>
      </c>
    </row>
    <row r="38" spans="2:41">
      <c r="B38" s="22" t="s">
        <v>78</v>
      </c>
      <c r="C38" s="101">
        <v>44525</v>
      </c>
      <c r="D38" s="106">
        <f ca="1">WORKDAY(D37,1)</f>
        <v>45187</v>
      </c>
      <c r="E38" s="110">
        <f t="shared" ref="E38:T53" ca="1" si="6">IFERROR((OptionPrice(LEFT($C$42),E$35,$C$37,($C$38-$D38+1)/365,$C$39,$C$41,$C$40)-$C$43)*$C$44,0)</f>
        <v>0</v>
      </c>
      <c r="F38" s="110">
        <f t="shared" ca="1" si="3"/>
        <v>0</v>
      </c>
      <c r="G38" s="110">
        <f t="shared" ca="1" si="3"/>
        <v>0</v>
      </c>
      <c r="H38" s="110">
        <f t="shared" ca="1" si="3"/>
        <v>0</v>
      </c>
      <c r="I38" s="110">
        <f t="shared" ca="1" si="3"/>
        <v>0</v>
      </c>
      <c r="J38" s="110">
        <f t="shared" ca="1" si="3"/>
        <v>0</v>
      </c>
      <c r="K38" s="110">
        <f t="shared" ca="1" si="3"/>
        <v>0</v>
      </c>
      <c r="L38" s="110">
        <f t="shared" ca="1" si="3"/>
        <v>0</v>
      </c>
      <c r="M38" s="110">
        <f t="shared" ca="1" si="3"/>
        <v>0</v>
      </c>
      <c r="N38" s="110">
        <f t="shared" ca="1" si="3"/>
        <v>0</v>
      </c>
      <c r="O38" s="110">
        <f t="shared" ca="1" si="3"/>
        <v>0</v>
      </c>
      <c r="P38" s="110">
        <f t="shared" ca="1" si="3"/>
        <v>0</v>
      </c>
      <c r="Q38" s="110">
        <f t="shared" ca="1" si="3"/>
        <v>0</v>
      </c>
      <c r="R38" s="110">
        <f t="shared" ca="1" si="3"/>
        <v>0</v>
      </c>
      <c r="S38" s="110">
        <f t="shared" ca="1" si="3"/>
        <v>0</v>
      </c>
      <c r="T38" s="110">
        <f t="shared" ca="1" si="3"/>
        <v>0</v>
      </c>
      <c r="U38" s="110">
        <f t="shared" ca="1" si="3"/>
        <v>0</v>
      </c>
      <c r="V38" s="110">
        <f t="shared" ca="1" si="4"/>
        <v>0</v>
      </c>
      <c r="W38" s="110">
        <f t="shared" ca="1" si="4"/>
        <v>0</v>
      </c>
      <c r="X38" s="110">
        <f t="shared" ca="1" si="4"/>
        <v>0</v>
      </c>
      <c r="Y38" s="110">
        <f t="shared" ca="1" si="4"/>
        <v>0</v>
      </c>
      <c r="Z38" s="110">
        <f t="shared" ca="1" si="4"/>
        <v>0</v>
      </c>
      <c r="AA38" s="110">
        <f t="shared" ca="1" si="4"/>
        <v>0</v>
      </c>
      <c r="AB38" s="110">
        <f t="shared" ca="1" si="4"/>
        <v>0</v>
      </c>
      <c r="AC38" s="110">
        <f t="shared" ca="1" si="4"/>
        <v>0</v>
      </c>
      <c r="AD38" s="110">
        <f t="shared" ca="1" si="4"/>
        <v>0</v>
      </c>
      <c r="AE38" s="110">
        <f t="shared" ca="1" si="4"/>
        <v>0</v>
      </c>
      <c r="AF38" s="110">
        <f t="shared" ca="1" si="4"/>
        <v>0</v>
      </c>
      <c r="AG38" s="110">
        <f t="shared" ca="1" si="4"/>
        <v>0</v>
      </c>
      <c r="AH38" s="110">
        <f t="shared" ca="1" si="4"/>
        <v>0</v>
      </c>
      <c r="AI38" s="110">
        <f t="shared" ca="1" si="4"/>
        <v>0</v>
      </c>
      <c r="AJ38" s="110">
        <f t="shared" ca="1" si="4"/>
        <v>0</v>
      </c>
      <c r="AK38" s="110">
        <f t="shared" ca="1" si="4"/>
        <v>0</v>
      </c>
      <c r="AL38" s="110">
        <f t="shared" ca="1" si="5"/>
        <v>0</v>
      </c>
      <c r="AM38" s="110">
        <f t="shared" ca="1" si="5"/>
        <v>0</v>
      </c>
      <c r="AN38" s="110">
        <f t="shared" ca="1" si="5"/>
        <v>0</v>
      </c>
      <c r="AO38" s="110">
        <f t="shared" ca="1" si="5"/>
        <v>0</v>
      </c>
    </row>
    <row r="39" spans="2:41">
      <c r="B39" s="22" t="s">
        <v>504</v>
      </c>
      <c r="C39" s="102">
        <v>0.05</v>
      </c>
      <c r="D39" s="106">
        <f t="shared" ref="D39:D68" ca="1" si="7">WORKDAY(D38,1)</f>
        <v>45188</v>
      </c>
      <c r="E39" s="110">
        <f t="shared" ca="1" si="6"/>
        <v>0</v>
      </c>
      <c r="F39" s="110">
        <f t="shared" ca="1" si="3"/>
        <v>0</v>
      </c>
      <c r="G39" s="110">
        <f t="shared" ca="1" si="3"/>
        <v>0</v>
      </c>
      <c r="H39" s="110">
        <f t="shared" ca="1" si="3"/>
        <v>0</v>
      </c>
      <c r="I39" s="110">
        <f t="shared" ca="1" si="3"/>
        <v>0</v>
      </c>
      <c r="J39" s="110">
        <f t="shared" ca="1" si="3"/>
        <v>0</v>
      </c>
      <c r="K39" s="110">
        <f t="shared" ca="1" si="3"/>
        <v>0</v>
      </c>
      <c r="L39" s="110">
        <f t="shared" ca="1" si="3"/>
        <v>0</v>
      </c>
      <c r="M39" s="110">
        <f t="shared" ca="1" si="3"/>
        <v>0</v>
      </c>
      <c r="N39" s="110">
        <f t="shared" ca="1" si="3"/>
        <v>0</v>
      </c>
      <c r="O39" s="110">
        <f t="shared" ca="1" si="3"/>
        <v>0</v>
      </c>
      <c r="P39" s="110">
        <f t="shared" ca="1" si="3"/>
        <v>0</v>
      </c>
      <c r="Q39" s="110">
        <f t="shared" ca="1" si="3"/>
        <v>0</v>
      </c>
      <c r="R39" s="110">
        <f t="shared" ca="1" si="3"/>
        <v>0</v>
      </c>
      <c r="S39" s="110">
        <f t="shared" ca="1" si="3"/>
        <v>0</v>
      </c>
      <c r="T39" s="110">
        <f t="shared" ca="1" si="3"/>
        <v>0</v>
      </c>
      <c r="U39" s="110">
        <f t="shared" ca="1" si="3"/>
        <v>0</v>
      </c>
      <c r="V39" s="110">
        <f t="shared" ca="1" si="4"/>
        <v>0</v>
      </c>
      <c r="W39" s="110">
        <f t="shared" ca="1" si="4"/>
        <v>0</v>
      </c>
      <c r="X39" s="110">
        <f t="shared" ca="1" si="4"/>
        <v>0</v>
      </c>
      <c r="Y39" s="110">
        <f t="shared" ca="1" si="4"/>
        <v>0</v>
      </c>
      <c r="Z39" s="110">
        <f t="shared" ca="1" si="4"/>
        <v>0</v>
      </c>
      <c r="AA39" s="110">
        <f t="shared" ca="1" si="4"/>
        <v>0</v>
      </c>
      <c r="AB39" s="110">
        <f t="shared" ca="1" si="4"/>
        <v>0</v>
      </c>
      <c r="AC39" s="110">
        <f t="shared" ca="1" si="4"/>
        <v>0</v>
      </c>
      <c r="AD39" s="110">
        <f t="shared" ca="1" si="4"/>
        <v>0</v>
      </c>
      <c r="AE39" s="110">
        <f t="shared" ca="1" si="4"/>
        <v>0</v>
      </c>
      <c r="AF39" s="110">
        <f t="shared" ca="1" si="4"/>
        <v>0</v>
      </c>
      <c r="AG39" s="110">
        <f t="shared" ca="1" si="4"/>
        <v>0</v>
      </c>
      <c r="AH39" s="110">
        <f t="shared" ca="1" si="4"/>
        <v>0</v>
      </c>
      <c r="AI39" s="110">
        <f t="shared" ca="1" si="4"/>
        <v>0</v>
      </c>
      <c r="AJ39" s="110">
        <f t="shared" ca="1" si="4"/>
        <v>0</v>
      </c>
      <c r="AK39" s="110">
        <f t="shared" ca="1" si="4"/>
        <v>0</v>
      </c>
      <c r="AL39" s="110">
        <f t="shared" ca="1" si="5"/>
        <v>0</v>
      </c>
      <c r="AM39" s="110">
        <f t="shared" ca="1" si="5"/>
        <v>0</v>
      </c>
      <c r="AN39" s="110">
        <f t="shared" ca="1" si="5"/>
        <v>0</v>
      </c>
      <c r="AO39" s="110">
        <f t="shared" ca="1" si="5"/>
        <v>0</v>
      </c>
    </row>
    <row r="40" spans="2:41">
      <c r="B40" s="22" t="s">
        <v>539</v>
      </c>
      <c r="C40" s="103">
        <v>0</v>
      </c>
      <c r="D40" s="106">
        <f t="shared" ca="1" si="7"/>
        <v>45189</v>
      </c>
      <c r="E40" s="110">
        <f t="shared" ca="1" si="6"/>
        <v>0</v>
      </c>
      <c r="F40" s="110">
        <f t="shared" ca="1" si="3"/>
        <v>0</v>
      </c>
      <c r="G40" s="110">
        <f t="shared" ca="1" si="3"/>
        <v>0</v>
      </c>
      <c r="H40" s="110">
        <f t="shared" ca="1" si="3"/>
        <v>0</v>
      </c>
      <c r="I40" s="110">
        <f t="shared" ca="1" si="3"/>
        <v>0</v>
      </c>
      <c r="J40" s="110">
        <f t="shared" ca="1" si="3"/>
        <v>0</v>
      </c>
      <c r="K40" s="110">
        <f t="shared" ca="1" si="3"/>
        <v>0</v>
      </c>
      <c r="L40" s="110">
        <f t="shared" ca="1" si="3"/>
        <v>0</v>
      </c>
      <c r="M40" s="110">
        <f t="shared" ca="1" si="3"/>
        <v>0</v>
      </c>
      <c r="N40" s="110">
        <f t="shared" ca="1" si="3"/>
        <v>0</v>
      </c>
      <c r="O40" s="110">
        <f t="shared" ca="1" si="3"/>
        <v>0</v>
      </c>
      <c r="P40" s="110">
        <f t="shared" ca="1" si="3"/>
        <v>0</v>
      </c>
      <c r="Q40" s="110">
        <f t="shared" ca="1" si="3"/>
        <v>0</v>
      </c>
      <c r="R40" s="110">
        <f t="shared" ca="1" si="3"/>
        <v>0</v>
      </c>
      <c r="S40" s="110">
        <f t="shared" ca="1" si="3"/>
        <v>0</v>
      </c>
      <c r="T40" s="110">
        <f t="shared" ca="1" si="3"/>
        <v>0</v>
      </c>
      <c r="U40" s="110">
        <f t="shared" ca="1" si="3"/>
        <v>0</v>
      </c>
      <c r="V40" s="110">
        <f t="shared" ca="1" si="4"/>
        <v>0</v>
      </c>
      <c r="W40" s="110">
        <f t="shared" ca="1" si="4"/>
        <v>0</v>
      </c>
      <c r="X40" s="110">
        <f t="shared" ca="1" si="4"/>
        <v>0</v>
      </c>
      <c r="Y40" s="110">
        <f t="shared" ca="1" si="4"/>
        <v>0</v>
      </c>
      <c r="Z40" s="110">
        <f t="shared" ca="1" si="4"/>
        <v>0</v>
      </c>
      <c r="AA40" s="110">
        <f t="shared" ca="1" si="4"/>
        <v>0</v>
      </c>
      <c r="AB40" s="110">
        <f t="shared" ca="1" si="4"/>
        <v>0</v>
      </c>
      <c r="AC40" s="110">
        <f t="shared" ca="1" si="4"/>
        <v>0</v>
      </c>
      <c r="AD40" s="110">
        <f t="shared" ca="1" si="4"/>
        <v>0</v>
      </c>
      <c r="AE40" s="110">
        <f t="shared" ca="1" si="4"/>
        <v>0</v>
      </c>
      <c r="AF40" s="110">
        <f t="shared" ca="1" si="4"/>
        <v>0</v>
      </c>
      <c r="AG40" s="110">
        <f t="shared" ca="1" si="4"/>
        <v>0</v>
      </c>
      <c r="AH40" s="110">
        <f t="shared" ca="1" si="4"/>
        <v>0</v>
      </c>
      <c r="AI40" s="110">
        <f t="shared" ca="1" si="4"/>
        <v>0</v>
      </c>
      <c r="AJ40" s="110">
        <f t="shared" ca="1" si="4"/>
        <v>0</v>
      </c>
      <c r="AK40" s="110">
        <f t="shared" ca="1" si="4"/>
        <v>0</v>
      </c>
      <c r="AL40" s="110">
        <f t="shared" ca="1" si="5"/>
        <v>0</v>
      </c>
      <c r="AM40" s="110">
        <f t="shared" ca="1" si="5"/>
        <v>0</v>
      </c>
      <c r="AN40" s="110">
        <f t="shared" ca="1" si="5"/>
        <v>0</v>
      </c>
      <c r="AO40" s="110">
        <f t="shared" ca="1" si="5"/>
        <v>0</v>
      </c>
    </row>
    <row r="41" spans="2:41">
      <c r="B41" s="22" t="s">
        <v>505</v>
      </c>
      <c r="C41" s="103">
        <f>18%</f>
        <v>0.18</v>
      </c>
      <c r="D41" s="106">
        <f t="shared" ca="1" si="7"/>
        <v>45190</v>
      </c>
      <c r="E41" s="110">
        <f t="shared" ca="1" si="6"/>
        <v>0</v>
      </c>
      <c r="F41" s="110">
        <f t="shared" ca="1" si="3"/>
        <v>0</v>
      </c>
      <c r="G41" s="110">
        <f t="shared" ca="1" si="3"/>
        <v>0</v>
      </c>
      <c r="H41" s="110">
        <f t="shared" ca="1" si="3"/>
        <v>0</v>
      </c>
      <c r="I41" s="110">
        <f t="shared" ca="1" si="3"/>
        <v>0</v>
      </c>
      <c r="J41" s="110">
        <f t="shared" ca="1" si="3"/>
        <v>0</v>
      </c>
      <c r="K41" s="110">
        <f t="shared" ca="1" si="3"/>
        <v>0</v>
      </c>
      <c r="L41" s="110">
        <f t="shared" ca="1" si="3"/>
        <v>0</v>
      </c>
      <c r="M41" s="110">
        <f t="shared" ca="1" si="3"/>
        <v>0</v>
      </c>
      <c r="N41" s="110">
        <f t="shared" ca="1" si="3"/>
        <v>0</v>
      </c>
      <c r="O41" s="110">
        <f t="shared" ca="1" si="3"/>
        <v>0</v>
      </c>
      <c r="P41" s="110">
        <f t="shared" ca="1" si="3"/>
        <v>0</v>
      </c>
      <c r="Q41" s="110">
        <f t="shared" ca="1" si="3"/>
        <v>0</v>
      </c>
      <c r="R41" s="110">
        <f t="shared" ca="1" si="3"/>
        <v>0</v>
      </c>
      <c r="S41" s="110">
        <f t="shared" ca="1" si="3"/>
        <v>0</v>
      </c>
      <c r="T41" s="110">
        <f t="shared" ca="1" si="3"/>
        <v>0</v>
      </c>
      <c r="U41" s="110">
        <f t="shared" ca="1" si="3"/>
        <v>0</v>
      </c>
      <c r="V41" s="110">
        <f t="shared" ca="1" si="4"/>
        <v>0</v>
      </c>
      <c r="W41" s="110">
        <f t="shared" ca="1" si="4"/>
        <v>0</v>
      </c>
      <c r="X41" s="110">
        <f t="shared" ca="1" si="4"/>
        <v>0</v>
      </c>
      <c r="Y41" s="110">
        <f t="shared" ca="1" si="4"/>
        <v>0</v>
      </c>
      <c r="Z41" s="110">
        <f t="shared" ca="1" si="4"/>
        <v>0</v>
      </c>
      <c r="AA41" s="110">
        <f t="shared" ca="1" si="4"/>
        <v>0</v>
      </c>
      <c r="AB41" s="110">
        <f t="shared" ca="1" si="4"/>
        <v>0</v>
      </c>
      <c r="AC41" s="110">
        <f t="shared" ca="1" si="4"/>
        <v>0</v>
      </c>
      <c r="AD41" s="110">
        <f t="shared" ca="1" si="4"/>
        <v>0</v>
      </c>
      <c r="AE41" s="110">
        <f t="shared" ca="1" si="4"/>
        <v>0</v>
      </c>
      <c r="AF41" s="110">
        <f t="shared" ca="1" si="4"/>
        <v>0</v>
      </c>
      <c r="AG41" s="110">
        <f t="shared" ca="1" si="4"/>
        <v>0</v>
      </c>
      <c r="AH41" s="110">
        <f t="shared" ca="1" si="4"/>
        <v>0</v>
      </c>
      <c r="AI41" s="110">
        <f t="shared" ca="1" si="4"/>
        <v>0</v>
      </c>
      <c r="AJ41" s="110">
        <f t="shared" ca="1" si="4"/>
        <v>0</v>
      </c>
      <c r="AK41" s="110">
        <f t="shared" ca="1" si="4"/>
        <v>0</v>
      </c>
      <c r="AL41" s="110">
        <f t="shared" ca="1" si="5"/>
        <v>0</v>
      </c>
      <c r="AM41" s="110">
        <f t="shared" ca="1" si="5"/>
        <v>0</v>
      </c>
      <c r="AN41" s="110">
        <f t="shared" ca="1" si="5"/>
        <v>0</v>
      </c>
      <c r="AO41" s="110">
        <f t="shared" ca="1" si="5"/>
        <v>0</v>
      </c>
    </row>
    <row r="42" spans="2:41">
      <c r="B42" s="22" t="s">
        <v>540</v>
      </c>
      <c r="C42" s="22" t="s">
        <v>481</v>
      </c>
      <c r="D42" s="106">
        <f t="shared" ca="1" si="7"/>
        <v>45191</v>
      </c>
      <c r="E42" s="110">
        <f t="shared" ca="1" si="6"/>
        <v>0</v>
      </c>
      <c r="F42" s="110">
        <f t="shared" ca="1" si="3"/>
        <v>0</v>
      </c>
      <c r="G42" s="110">
        <f t="shared" ca="1" si="3"/>
        <v>0</v>
      </c>
      <c r="H42" s="110">
        <f t="shared" ca="1" si="3"/>
        <v>0</v>
      </c>
      <c r="I42" s="110">
        <f t="shared" ca="1" si="3"/>
        <v>0</v>
      </c>
      <c r="J42" s="110">
        <f t="shared" ca="1" si="3"/>
        <v>0</v>
      </c>
      <c r="K42" s="110">
        <f t="shared" ca="1" si="3"/>
        <v>0</v>
      </c>
      <c r="L42" s="110">
        <f t="shared" ca="1" si="3"/>
        <v>0</v>
      </c>
      <c r="M42" s="110">
        <f t="shared" ca="1" si="3"/>
        <v>0</v>
      </c>
      <c r="N42" s="110">
        <f t="shared" ca="1" si="3"/>
        <v>0</v>
      </c>
      <c r="O42" s="110">
        <f t="shared" ca="1" si="3"/>
        <v>0</v>
      </c>
      <c r="P42" s="110">
        <f t="shared" ca="1" si="3"/>
        <v>0</v>
      </c>
      <c r="Q42" s="110">
        <f t="shared" ca="1" si="3"/>
        <v>0</v>
      </c>
      <c r="R42" s="110">
        <f t="shared" ca="1" si="3"/>
        <v>0</v>
      </c>
      <c r="S42" s="110">
        <f t="shared" ca="1" si="3"/>
        <v>0</v>
      </c>
      <c r="T42" s="110">
        <f t="shared" ca="1" si="3"/>
        <v>0</v>
      </c>
      <c r="U42" s="110">
        <f t="shared" ca="1" si="3"/>
        <v>0</v>
      </c>
      <c r="V42" s="110">
        <f t="shared" ca="1" si="4"/>
        <v>0</v>
      </c>
      <c r="W42" s="110">
        <f t="shared" ca="1" si="4"/>
        <v>0</v>
      </c>
      <c r="X42" s="110">
        <f t="shared" ca="1" si="4"/>
        <v>0</v>
      </c>
      <c r="Y42" s="110">
        <f t="shared" ca="1" si="4"/>
        <v>0</v>
      </c>
      <c r="Z42" s="110">
        <f t="shared" ca="1" si="4"/>
        <v>0</v>
      </c>
      <c r="AA42" s="110">
        <f t="shared" ca="1" si="4"/>
        <v>0</v>
      </c>
      <c r="AB42" s="110">
        <f t="shared" ca="1" si="4"/>
        <v>0</v>
      </c>
      <c r="AC42" s="110">
        <f t="shared" ca="1" si="4"/>
        <v>0</v>
      </c>
      <c r="AD42" s="110">
        <f t="shared" ca="1" si="4"/>
        <v>0</v>
      </c>
      <c r="AE42" s="110">
        <f t="shared" ca="1" si="4"/>
        <v>0</v>
      </c>
      <c r="AF42" s="110">
        <f t="shared" ca="1" si="4"/>
        <v>0</v>
      </c>
      <c r="AG42" s="110">
        <f t="shared" ca="1" si="4"/>
        <v>0</v>
      </c>
      <c r="AH42" s="110">
        <f t="shared" ca="1" si="4"/>
        <v>0</v>
      </c>
      <c r="AI42" s="110">
        <f t="shared" ca="1" si="4"/>
        <v>0</v>
      </c>
      <c r="AJ42" s="110">
        <f t="shared" ca="1" si="4"/>
        <v>0</v>
      </c>
      <c r="AK42" s="110">
        <f t="shared" ca="1" si="4"/>
        <v>0</v>
      </c>
      <c r="AL42" s="110">
        <f t="shared" ca="1" si="5"/>
        <v>0</v>
      </c>
      <c r="AM42" s="110">
        <f t="shared" ca="1" si="5"/>
        <v>0</v>
      </c>
      <c r="AN42" s="110">
        <f t="shared" ca="1" si="5"/>
        <v>0</v>
      </c>
      <c r="AO42" s="110">
        <f t="shared" ca="1" si="5"/>
        <v>0</v>
      </c>
    </row>
    <row r="43" spans="2:41">
      <c r="B43" s="22" t="s">
        <v>23</v>
      </c>
      <c r="C43" s="22">
        <v>58</v>
      </c>
      <c r="D43" s="106">
        <f t="shared" ca="1" si="7"/>
        <v>45194</v>
      </c>
      <c r="E43" s="110">
        <f t="shared" ca="1" si="6"/>
        <v>0</v>
      </c>
      <c r="F43" s="110">
        <f t="shared" ca="1" si="3"/>
        <v>0</v>
      </c>
      <c r="G43" s="110">
        <f t="shared" ca="1" si="3"/>
        <v>0</v>
      </c>
      <c r="H43" s="110">
        <f t="shared" ca="1" si="3"/>
        <v>0</v>
      </c>
      <c r="I43" s="110">
        <f t="shared" ca="1" si="3"/>
        <v>0</v>
      </c>
      <c r="J43" s="110">
        <f t="shared" ca="1" si="3"/>
        <v>0</v>
      </c>
      <c r="K43" s="110">
        <f t="shared" ca="1" si="3"/>
        <v>0</v>
      </c>
      <c r="L43" s="110">
        <f t="shared" ca="1" si="3"/>
        <v>0</v>
      </c>
      <c r="M43" s="110">
        <f t="shared" ca="1" si="3"/>
        <v>0</v>
      </c>
      <c r="N43" s="110">
        <f t="shared" ca="1" si="3"/>
        <v>0</v>
      </c>
      <c r="O43" s="110">
        <f t="shared" ca="1" si="3"/>
        <v>0</v>
      </c>
      <c r="P43" s="110">
        <f t="shared" ca="1" si="3"/>
        <v>0</v>
      </c>
      <c r="Q43" s="110">
        <f t="shared" ca="1" si="3"/>
        <v>0</v>
      </c>
      <c r="R43" s="110">
        <f t="shared" ca="1" si="3"/>
        <v>0</v>
      </c>
      <c r="S43" s="110">
        <f t="shared" ca="1" si="3"/>
        <v>0</v>
      </c>
      <c r="T43" s="110">
        <f t="shared" ca="1" si="3"/>
        <v>0</v>
      </c>
      <c r="U43" s="110">
        <f t="shared" ca="1" si="3"/>
        <v>0</v>
      </c>
      <c r="V43" s="110">
        <f t="shared" ca="1" si="4"/>
        <v>0</v>
      </c>
      <c r="W43" s="110">
        <f t="shared" ca="1" si="4"/>
        <v>0</v>
      </c>
      <c r="X43" s="110">
        <f t="shared" ca="1" si="4"/>
        <v>0</v>
      </c>
      <c r="Y43" s="110">
        <f t="shared" ca="1" si="4"/>
        <v>0</v>
      </c>
      <c r="Z43" s="110">
        <f t="shared" ca="1" si="4"/>
        <v>0</v>
      </c>
      <c r="AA43" s="110">
        <f t="shared" ca="1" si="4"/>
        <v>0</v>
      </c>
      <c r="AB43" s="110">
        <f t="shared" ca="1" si="4"/>
        <v>0</v>
      </c>
      <c r="AC43" s="110">
        <f t="shared" ca="1" si="4"/>
        <v>0</v>
      </c>
      <c r="AD43" s="110">
        <f t="shared" ca="1" si="4"/>
        <v>0</v>
      </c>
      <c r="AE43" s="110">
        <f t="shared" ca="1" si="4"/>
        <v>0</v>
      </c>
      <c r="AF43" s="110">
        <f t="shared" ca="1" si="4"/>
        <v>0</v>
      </c>
      <c r="AG43" s="110">
        <f t="shared" ca="1" si="4"/>
        <v>0</v>
      </c>
      <c r="AH43" s="110">
        <f t="shared" ca="1" si="4"/>
        <v>0</v>
      </c>
      <c r="AI43" s="110">
        <f t="shared" ca="1" si="4"/>
        <v>0</v>
      </c>
      <c r="AJ43" s="110">
        <f t="shared" ca="1" si="4"/>
        <v>0</v>
      </c>
      <c r="AK43" s="110">
        <f t="shared" ca="1" si="4"/>
        <v>0</v>
      </c>
      <c r="AL43" s="110">
        <f t="shared" ca="1" si="5"/>
        <v>0</v>
      </c>
      <c r="AM43" s="110">
        <f t="shared" ca="1" si="5"/>
        <v>0</v>
      </c>
      <c r="AN43" s="110">
        <f t="shared" ca="1" si="5"/>
        <v>0</v>
      </c>
      <c r="AO43" s="110">
        <f t="shared" ca="1" si="5"/>
        <v>0</v>
      </c>
    </row>
    <row r="44" spans="2:41">
      <c r="B44" s="22" t="s">
        <v>3</v>
      </c>
      <c r="C44" s="22">
        <v>250</v>
      </c>
      <c r="D44" s="106">
        <f t="shared" ca="1" si="7"/>
        <v>45195</v>
      </c>
      <c r="E44" s="110">
        <f t="shared" ca="1" si="6"/>
        <v>0</v>
      </c>
      <c r="F44" s="110">
        <f t="shared" ca="1" si="3"/>
        <v>0</v>
      </c>
      <c r="G44" s="110">
        <f t="shared" ca="1" si="3"/>
        <v>0</v>
      </c>
      <c r="H44" s="110">
        <f t="shared" ca="1" si="3"/>
        <v>0</v>
      </c>
      <c r="I44" s="110">
        <f t="shared" ca="1" si="3"/>
        <v>0</v>
      </c>
      <c r="J44" s="110">
        <f t="shared" ca="1" si="3"/>
        <v>0</v>
      </c>
      <c r="K44" s="110">
        <f t="shared" ca="1" si="3"/>
        <v>0</v>
      </c>
      <c r="L44" s="110">
        <f t="shared" ca="1" si="3"/>
        <v>0</v>
      </c>
      <c r="M44" s="110">
        <f t="shared" ca="1" si="3"/>
        <v>0</v>
      </c>
      <c r="N44" s="110">
        <f t="shared" ca="1" si="3"/>
        <v>0</v>
      </c>
      <c r="O44" s="110">
        <f t="shared" ca="1" si="3"/>
        <v>0</v>
      </c>
      <c r="P44" s="110">
        <f t="shared" ca="1" si="3"/>
        <v>0</v>
      </c>
      <c r="Q44" s="110">
        <f t="shared" ca="1" si="3"/>
        <v>0</v>
      </c>
      <c r="R44" s="110">
        <f t="shared" ca="1" si="3"/>
        <v>0</v>
      </c>
      <c r="S44" s="110">
        <f t="shared" ca="1" si="3"/>
        <v>0</v>
      </c>
      <c r="T44" s="110">
        <f t="shared" ca="1" si="3"/>
        <v>0</v>
      </c>
      <c r="U44" s="110">
        <f t="shared" ca="1" si="3"/>
        <v>0</v>
      </c>
      <c r="V44" s="110">
        <f t="shared" ca="1" si="4"/>
        <v>0</v>
      </c>
      <c r="W44" s="110">
        <f t="shared" ca="1" si="4"/>
        <v>0</v>
      </c>
      <c r="X44" s="110">
        <f t="shared" ca="1" si="4"/>
        <v>0</v>
      </c>
      <c r="Y44" s="110">
        <f t="shared" ca="1" si="4"/>
        <v>0</v>
      </c>
      <c r="Z44" s="110">
        <f t="shared" ca="1" si="4"/>
        <v>0</v>
      </c>
      <c r="AA44" s="110">
        <f t="shared" ca="1" si="4"/>
        <v>0</v>
      </c>
      <c r="AB44" s="110">
        <f t="shared" ca="1" si="4"/>
        <v>0</v>
      </c>
      <c r="AC44" s="110">
        <f t="shared" ca="1" si="4"/>
        <v>0</v>
      </c>
      <c r="AD44" s="110">
        <f t="shared" ca="1" si="4"/>
        <v>0</v>
      </c>
      <c r="AE44" s="110">
        <f t="shared" ca="1" si="4"/>
        <v>0</v>
      </c>
      <c r="AF44" s="110">
        <f t="shared" ca="1" si="4"/>
        <v>0</v>
      </c>
      <c r="AG44" s="110">
        <f t="shared" ca="1" si="4"/>
        <v>0</v>
      </c>
      <c r="AH44" s="110">
        <f t="shared" ca="1" si="4"/>
        <v>0</v>
      </c>
      <c r="AI44" s="110">
        <f t="shared" ca="1" si="4"/>
        <v>0</v>
      </c>
      <c r="AJ44" s="110">
        <f t="shared" ca="1" si="4"/>
        <v>0</v>
      </c>
      <c r="AK44" s="110">
        <f t="shared" ca="1" si="4"/>
        <v>0</v>
      </c>
      <c r="AL44" s="110">
        <f t="shared" ca="1" si="5"/>
        <v>0</v>
      </c>
      <c r="AM44" s="110">
        <f t="shared" ca="1" si="5"/>
        <v>0</v>
      </c>
      <c r="AN44" s="110">
        <f t="shared" ca="1" si="5"/>
        <v>0</v>
      </c>
      <c r="AO44" s="110">
        <f t="shared" ca="1" si="5"/>
        <v>0</v>
      </c>
    </row>
    <row r="45" spans="2:41">
      <c r="B45" s="22" t="s">
        <v>537</v>
      </c>
      <c r="C45" s="121" t="e">
        <f ca="1">ImpliedVolatility(LEFT(C42),C35,C37,C39,C47,C40,C46,12%)</f>
        <v>#VALUE!</v>
      </c>
      <c r="D45" s="106">
        <f t="shared" ca="1" si="7"/>
        <v>45196</v>
      </c>
      <c r="E45" s="110">
        <f t="shared" ca="1" si="6"/>
        <v>0</v>
      </c>
      <c r="F45" s="110">
        <f t="shared" ca="1" si="3"/>
        <v>0</v>
      </c>
      <c r="G45" s="110">
        <f t="shared" ca="1" si="3"/>
        <v>0</v>
      </c>
      <c r="H45" s="110">
        <f t="shared" ca="1" si="3"/>
        <v>0</v>
      </c>
      <c r="I45" s="110">
        <f t="shared" ca="1" si="3"/>
        <v>0</v>
      </c>
      <c r="J45" s="110">
        <f t="shared" ca="1" si="3"/>
        <v>0</v>
      </c>
      <c r="K45" s="110">
        <f t="shared" ca="1" si="3"/>
        <v>0</v>
      </c>
      <c r="L45" s="110">
        <f t="shared" ca="1" si="3"/>
        <v>0</v>
      </c>
      <c r="M45" s="110">
        <f t="shared" ca="1" si="3"/>
        <v>0</v>
      </c>
      <c r="N45" s="110">
        <f t="shared" ca="1" si="3"/>
        <v>0</v>
      </c>
      <c r="O45" s="110">
        <f t="shared" ca="1" si="3"/>
        <v>0</v>
      </c>
      <c r="P45" s="110">
        <f t="shared" ca="1" si="3"/>
        <v>0</v>
      </c>
      <c r="Q45" s="110">
        <f t="shared" ca="1" si="3"/>
        <v>0</v>
      </c>
      <c r="R45" s="110">
        <f t="shared" ca="1" si="3"/>
        <v>0</v>
      </c>
      <c r="S45" s="110">
        <f t="shared" ca="1" si="3"/>
        <v>0</v>
      </c>
      <c r="T45" s="110">
        <f t="shared" ca="1" si="3"/>
        <v>0</v>
      </c>
      <c r="U45" s="110">
        <f t="shared" ca="1" si="3"/>
        <v>0</v>
      </c>
      <c r="V45" s="110">
        <f t="shared" ca="1" si="4"/>
        <v>0</v>
      </c>
      <c r="W45" s="110">
        <f t="shared" ca="1" si="4"/>
        <v>0</v>
      </c>
      <c r="X45" s="110">
        <f t="shared" ca="1" si="4"/>
        <v>0</v>
      </c>
      <c r="Y45" s="110">
        <f t="shared" ca="1" si="4"/>
        <v>0</v>
      </c>
      <c r="Z45" s="110">
        <f t="shared" ca="1" si="4"/>
        <v>0</v>
      </c>
      <c r="AA45" s="110">
        <f t="shared" ca="1" si="4"/>
        <v>0</v>
      </c>
      <c r="AB45" s="110">
        <f t="shared" ca="1" si="4"/>
        <v>0</v>
      </c>
      <c r="AC45" s="110">
        <f t="shared" ca="1" si="4"/>
        <v>0</v>
      </c>
      <c r="AD45" s="110">
        <f t="shared" ca="1" si="4"/>
        <v>0</v>
      </c>
      <c r="AE45" s="110">
        <f t="shared" ca="1" si="4"/>
        <v>0</v>
      </c>
      <c r="AF45" s="110">
        <f t="shared" ca="1" si="4"/>
        <v>0</v>
      </c>
      <c r="AG45" s="110">
        <f t="shared" ca="1" si="4"/>
        <v>0</v>
      </c>
      <c r="AH45" s="110">
        <f t="shared" ca="1" si="4"/>
        <v>0</v>
      </c>
      <c r="AI45" s="110">
        <f t="shared" ca="1" si="4"/>
        <v>0</v>
      </c>
      <c r="AJ45" s="110">
        <f t="shared" ca="1" si="4"/>
        <v>0</v>
      </c>
      <c r="AK45" s="110">
        <f t="shared" ca="1" si="4"/>
        <v>0</v>
      </c>
      <c r="AL45" s="110">
        <f t="shared" ca="1" si="5"/>
        <v>0</v>
      </c>
      <c r="AM45" s="110">
        <f t="shared" ca="1" si="5"/>
        <v>0</v>
      </c>
      <c r="AN45" s="110">
        <f t="shared" ca="1" si="5"/>
        <v>0</v>
      </c>
      <c r="AO45" s="110">
        <f t="shared" ca="1" si="5"/>
        <v>0</v>
      </c>
    </row>
    <row r="46" spans="2:41">
      <c r="B46" s="22" t="s">
        <v>487</v>
      </c>
      <c r="C46" s="22">
        <v>16.8</v>
      </c>
      <c r="D46" s="106">
        <f t="shared" ca="1" si="7"/>
        <v>45197</v>
      </c>
      <c r="E46" s="110">
        <f t="shared" ca="1" si="6"/>
        <v>0</v>
      </c>
      <c r="F46" s="110">
        <f t="shared" ca="1" si="3"/>
        <v>0</v>
      </c>
      <c r="G46" s="110">
        <f t="shared" ca="1" si="3"/>
        <v>0</v>
      </c>
      <c r="H46" s="110">
        <f t="shared" ca="1" si="3"/>
        <v>0</v>
      </c>
      <c r="I46" s="110">
        <f t="shared" ca="1" si="3"/>
        <v>0</v>
      </c>
      <c r="J46" s="110">
        <f t="shared" ca="1" si="3"/>
        <v>0</v>
      </c>
      <c r="K46" s="110">
        <f t="shared" ca="1" si="3"/>
        <v>0</v>
      </c>
      <c r="L46" s="110">
        <f t="shared" ca="1" si="3"/>
        <v>0</v>
      </c>
      <c r="M46" s="110">
        <f t="shared" ca="1" si="3"/>
        <v>0</v>
      </c>
      <c r="N46" s="110">
        <f t="shared" ca="1" si="3"/>
        <v>0</v>
      </c>
      <c r="O46" s="110">
        <f t="shared" ca="1" si="3"/>
        <v>0</v>
      </c>
      <c r="P46" s="110">
        <f t="shared" ca="1" si="3"/>
        <v>0</v>
      </c>
      <c r="Q46" s="110">
        <f t="shared" ca="1" si="3"/>
        <v>0</v>
      </c>
      <c r="R46" s="110">
        <f t="shared" ca="1" si="3"/>
        <v>0</v>
      </c>
      <c r="S46" s="110">
        <f t="shared" ca="1" si="3"/>
        <v>0</v>
      </c>
      <c r="T46" s="110">
        <f t="shared" ca="1" si="3"/>
        <v>0</v>
      </c>
      <c r="U46" s="110">
        <f t="shared" ca="1" si="3"/>
        <v>0</v>
      </c>
      <c r="V46" s="110">
        <f t="shared" ca="1" si="4"/>
        <v>0</v>
      </c>
      <c r="W46" s="110">
        <f t="shared" ca="1" si="4"/>
        <v>0</v>
      </c>
      <c r="X46" s="110">
        <f t="shared" ca="1" si="4"/>
        <v>0</v>
      </c>
      <c r="Y46" s="110">
        <f t="shared" ca="1" si="4"/>
        <v>0</v>
      </c>
      <c r="Z46" s="110">
        <f t="shared" ca="1" si="4"/>
        <v>0</v>
      </c>
      <c r="AA46" s="110">
        <f t="shared" ca="1" si="4"/>
        <v>0</v>
      </c>
      <c r="AB46" s="110">
        <f t="shared" ca="1" si="4"/>
        <v>0</v>
      </c>
      <c r="AC46" s="110">
        <f t="shared" ca="1" si="4"/>
        <v>0</v>
      </c>
      <c r="AD46" s="110">
        <f t="shared" ca="1" si="4"/>
        <v>0</v>
      </c>
      <c r="AE46" s="110">
        <f t="shared" ca="1" si="4"/>
        <v>0</v>
      </c>
      <c r="AF46" s="110">
        <f t="shared" ca="1" si="4"/>
        <v>0</v>
      </c>
      <c r="AG46" s="110">
        <f t="shared" ca="1" si="4"/>
        <v>0</v>
      </c>
      <c r="AH46" s="110">
        <f t="shared" ca="1" si="4"/>
        <v>0</v>
      </c>
      <c r="AI46" s="110">
        <f t="shared" ca="1" si="4"/>
        <v>0</v>
      </c>
      <c r="AJ46" s="110">
        <f t="shared" ca="1" si="4"/>
        <v>0</v>
      </c>
      <c r="AK46" s="110">
        <f t="shared" ca="1" si="4"/>
        <v>0</v>
      </c>
      <c r="AL46" s="110">
        <f t="shared" ca="1" si="5"/>
        <v>0</v>
      </c>
      <c r="AM46" s="110">
        <f t="shared" ca="1" si="5"/>
        <v>0</v>
      </c>
      <c r="AN46" s="110">
        <f t="shared" ca="1" si="5"/>
        <v>0</v>
      </c>
      <c r="AO46" s="110">
        <f t="shared" ca="1" si="5"/>
        <v>0</v>
      </c>
    </row>
    <row r="47" spans="2:41">
      <c r="B47" s="22" t="s">
        <v>556</v>
      </c>
      <c r="C47" s="22">
        <f ca="1">(C38-TODAY())/365</f>
        <v>-1.8054794520547945</v>
      </c>
      <c r="D47" s="106">
        <f t="shared" ca="1" si="7"/>
        <v>45198</v>
      </c>
      <c r="E47" s="110">
        <f t="shared" ca="1" si="6"/>
        <v>0</v>
      </c>
      <c r="F47" s="110">
        <f t="shared" ca="1" si="3"/>
        <v>0</v>
      </c>
      <c r="G47" s="110">
        <f t="shared" ca="1" si="3"/>
        <v>0</v>
      </c>
      <c r="H47" s="110">
        <f t="shared" ca="1" si="3"/>
        <v>0</v>
      </c>
      <c r="I47" s="110">
        <f t="shared" ca="1" si="3"/>
        <v>0</v>
      </c>
      <c r="J47" s="110">
        <f t="shared" ca="1" si="3"/>
        <v>0</v>
      </c>
      <c r="K47" s="110">
        <f t="shared" ca="1" si="3"/>
        <v>0</v>
      </c>
      <c r="L47" s="110">
        <f t="shared" ca="1" si="3"/>
        <v>0</v>
      </c>
      <c r="M47" s="110">
        <f t="shared" ca="1" si="3"/>
        <v>0</v>
      </c>
      <c r="N47" s="110">
        <f t="shared" ca="1" si="3"/>
        <v>0</v>
      </c>
      <c r="O47" s="110">
        <f t="shared" ca="1" si="3"/>
        <v>0</v>
      </c>
      <c r="P47" s="110">
        <f t="shared" ca="1" si="3"/>
        <v>0</v>
      </c>
      <c r="Q47" s="110">
        <f t="shared" ca="1" si="3"/>
        <v>0</v>
      </c>
      <c r="R47" s="110">
        <f t="shared" ca="1" si="3"/>
        <v>0</v>
      </c>
      <c r="S47" s="110">
        <f t="shared" ca="1" si="3"/>
        <v>0</v>
      </c>
      <c r="T47" s="110">
        <f t="shared" ca="1" si="3"/>
        <v>0</v>
      </c>
      <c r="U47" s="110">
        <f t="shared" ca="1" si="3"/>
        <v>0</v>
      </c>
      <c r="V47" s="110">
        <f t="shared" ca="1" si="4"/>
        <v>0</v>
      </c>
      <c r="W47" s="110">
        <f t="shared" ca="1" si="4"/>
        <v>0</v>
      </c>
      <c r="X47" s="110">
        <f t="shared" ca="1" si="4"/>
        <v>0</v>
      </c>
      <c r="Y47" s="110">
        <f t="shared" ca="1" si="4"/>
        <v>0</v>
      </c>
      <c r="Z47" s="110">
        <f t="shared" ca="1" si="4"/>
        <v>0</v>
      </c>
      <c r="AA47" s="110">
        <f t="shared" ca="1" si="4"/>
        <v>0</v>
      </c>
      <c r="AB47" s="110">
        <f t="shared" ca="1" si="4"/>
        <v>0</v>
      </c>
      <c r="AC47" s="110">
        <f t="shared" ca="1" si="4"/>
        <v>0</v>
      </c>
      <c r="AD47" s="110">
        <f t="shared" ca="1" si="4"/>
        <v>0</v>
      </c>
      <c r="AE47" s="110">
        <f t="shared" ca="1" si="4"/>
        <v>0</v>
      </c>
      <c r="AF47" s="110">
        <f t="shared" ca="1" si="4"/>
        <v>0</v>
      </c>
      <c r="AG47" s="110">
        <f t="shared" ca="1" si="4"/>
        <v>0</v>
      </c>
      <c r="AH47" s="110">
        <f t="shared" ca="1" si="4"/>
        <v>0</v>
      </c>
      <c r="AI47" s="110">
        <f t="shared" ca="1" si="4"/>
        <v>0</v>
      </c>
      <c r="AJ47" s="110">
        <f t="shared" ca="1" si="4"/>
        <v>0</v>
      </c>
      <c r="AK47" s="110">
        <f t="shared" ca="1" si="4"/>
        <v>0</v>
      </c>
      <c r="AL47" s="110">
        <f t="shared" ca="1" si="5"/>
        <v>0</v>
      </c>
      <c r="AM47" s="110">
        <f t="shared" ca="1" si="5"/>
        <v>0</v>
      </c>
      <c r="AN47" s="110">
        <f t="shared" ca="1" si="5"/>
        <v>0</v>
      </c>
      <c r="AO47" s="110">
        <f t="shared" ca="1" si="5"/>
        <v>0</v>
      </c>
    </row>
    <row r="48" spans="2:41">
      <c r="C48" s="22">
        <f>C44*C43</f>
        <v>14500</v>
      </c>
      <c r="D48" s="106">
        <f t="shared" ca="1" si="7"/>
        <v>45201</v>
      </c>
      <c r="E48" s="110">
        <f t="shared" ca="1" si="6"/>
        <v>0</v>
      </c>
      <c r="F48" s="110">
        <f t="shared" ca="1" si="3"/>
        <v>0</v>
      </c>
      <c r="G48" s="110">
        <f t="shared" ca="1" si="3"/>
        <v>0</v>
      </c>
      <c r="H48" s="110">
        <f t="shared" ca="1" si="3"/>
        <v>0</v>
      </c>
      <c r="I48" s="110">
        <f t="shared" ca="1" si="3"/>
        <v>0</v>
      </c>
      <c r="J48" s="110">
        <f t="shared" ca="1" si="3"/>
        <v>0</v>
      </c>
      <c r="K48" s="110">
        <f t="shared" ca="1" si="3"/>
        <v>0</v>
      </c>
      <c r="L48" s="110">
        <f t="shared" ca="1" si="3"/>
        <v>0</v>
      </c>
      <c r="M48" s="110">
        <f t="shared" ca="1" si="3"/>
        <v>0</v>
      </c>
      <c r="N48" s="110">
        <f t="shared" ca="1" si="3"/>
        <v>0</v>
      </c>
      <c r="O48" s="110">
        <f t="shared" ca="1" si="3"/>
        <v>0</v>
      </c>
      <c r="P48" s="110">
        <f t="shared" ca="1" si="3"/>
        <v>0</v>
      </c>
      <c r="Q48" s="110">
        <f t="shared" ca="1" si="3"/>
        <v>0</v>
      </c>
      <c r="R48" s="110">
        <f t="shared" ca="1" si="3"/>
        <v>0</v>
      </c>
      <c r="S48" s="110">
        <f t="shared" ca="1" si="3"/>
        <v>0</v>
      </c>
      <c r="T48" s="110">
        <f t="shared" ca="1" si="3"/>
        <v>0</v>
      </c>
      <c r="U48" s="110">
        <f t="shared" ca="1" si="3"/>
        <v>0</v>
      </c>
      <c r="V48" s="110">
        <f t="shared" ca="1" si="4"/>
        <v>0</v>
      </c>
      <c r="W48" s="110">
        <f t="shared" ca="1" si="4"/>
        <v>0</v>
      </c>
      <c r="X48" s="110">
        <f t="shared" ca="1" si="4"/>
        <v>0</v>
      </c>
      <c r="Y48" s="110">
        <f t="shared" ca="1" si="4"/>
        <v>0</v>
      </c>
      <c r="Z48" s="110">
        <f t="shared" ca="1" si="4"/>
        <v>0</v>
      </c>
      <c r="AA48" s="110">
        <f t="shared" ca="1" si="4"/>
        <v>0</v>
      </c>
      <c r="AB48" s="110">
        <f t="shared" ca="1" si="4"/>
        <v>0</v>
      </c>
      <c r="AC48" s="110">
        <f t="shared" ca="1" si="4"/>
        <v>0</v>
      </c>
      <c r="AD48" s="110">
        <f t="shared" ca="1" si="4"/>
        <v>0</v>
      </c>
      <c r="AE48" s="110">
        <f t="shared" ca="1" si="4"/>
        <v>0</v>
      </c>
      <c r="AF48" s="110">
        <f t="shared" ca="1" si="4"/>
        <v>0</v>
      </c>
      <c r="AG48" s="110">
        <f t="shared" ca="1" si="4"/>
        <v>0</v>
      </c>
      <c r="AH48" s="110">
        <f t="shared" ca="1" si="4"/>
        <v>0</v>
      </c>
      <c r="AI48" s="110">
        <f t="shared" ca="1" si="4"/>
        <v>0</v>
      </c>
      <c r="AJ48" s="110">
        <f t="shared" ca="1" si="4"/>
        <v>0</v>
      </c>
      <c r="AK48" s="110">
        <f t="shared" ca="1" si="4"/>
        <v>0</v>
      </c>
      <c r="AL48" s="110">
        <f t="shared" ca="1" si="5"/>
        <v>0</v>
      </c>
      <c r="AM48" s="110">
        <f t="shared" ca="1" si="5"/>
        <v>0</v>
      </c>
      <c r="AN48" s="110">
        <f t="shared" ca="1" si="5"/>
        <v>0</v>
      </c>
      <c r="AO48" s="110">
        <f t="shared" ca="1" si="5"/>
        <v>0</v>
      </c>
    </row>
    <row r="49" spans="4:41">
      <c r="D49" s="106">
        <f t="shared" ca="1" si="7"/>
        <v>45202</v>
      </c>
      <c r="E49" s="110">
        <f t="shared" ca="1" si="6"/>
        <v>0</v>
      </c>
      <c r="F49" s="110">
        <f t="shared" ca="1" si="3"/>
        <v>0</v>
      </c>
      <c r="G49" s="110">
        <f t="shared" ca="1" si="3"/>
        <v>0</v>
      </c>
      <c r="H49" s="110">
        <f t="shared" ca="1" si="3"/>
        <v>0</v>
      </c>
      <c r="I49" s="110">
        <f t="shared" ca="1" si="3"/>
        <v>0</v>
      </c>
      <c r="J49" s="110">
        <f t="shared" ca="1" si="3"/>
        <v>0</v>
      </c>
      <c r="K49" s="110">
        <f t="shared" ca="1" si="3"/>
        <v>0</v>
      </c>
      <c r="L49" s="110">
        <f t="shared" ca="1" si="3"/>
        <v>0</v>
      </c>
      <c r="M49" s="110">
        <f t="shared" ca="1" si="3"/>
        <v>0</v>
      </c>
      <c r="N49" s="110">
        <f t="shared" ca="1" si="3"/>
        <v>0</v>
      </c>
      <c r="O49" s="110">
        <f t="shared" ca="1" si="3"/>
        <v>0</v>
      </c>
      <c r="P49" s="110">
        <f t="shared" ca="1" si="3"/>
        <v>0</v>
      </c>
      <c r="Q49" s="110">
        <f t="shared" ca="1" si="3"/>
        <v>0</v>
      </c>
      <c r="R49" s="110">
        <f t="shared" ca="1" si="3"/>
        <v>0</v>
      </c>
      <c r="S49" s="110">
        <f t="shared" ca="1" si="3"/>
        <v>0</v>
      </c>
      <c r="T49" s="110">
        <f t="shared" ca="1" si="3"/>
        <v>0</v>
      </c>
      <c r="U49" s="110">
        <f t="shared" ca="1" si="3"/>
        <v>0</v>
      </c>
      <c r="V49" s="110">
        <f t="shared" ca="1" si="4"/>
        <v>0</v>
      </c>
      <c r="W49" s="110">
        <f t="shared" ca="1" si="4"/>
        <v>0</v>
      </c>
      <c r="X49" s="110">
        <f t="shared" ca="1" si="4"/>
        <v>0</v>
      </c>
      <c r="Y49" s="110">
        <f t="shared" ca="1" si="4"/>
        <v>0</v>
      </c>
      <c r="Z49" s="110">
        <f t="shared" ca="1" si="4"/>
        <v>0</v>
      </c>
      <c r="AA49" s="110">
        <f t="shared" ca="1" si="4"/>
        <v>0</v>
      </c>
      <c r="AB49" s="110">
        <f t="shared" ca="1" si="4"/>
        <v>0</v>
      </c>
      <c r="AC49" s="110">
        <f t="shared" ca="1" si="4"/>
        <v>0</v>
      </c>
      <c r="AD49" s="110">
        <f t="shared" ca="1" si="4"/>
        <v>0</v>
      </c>
      <c r="AE49" s="110">
        <f t="shared" ca="1" si="4"/>
        <v>0</v>
      </c>
      <c r="AF49" s="110">
        <f t="shared" ca="1" si="4"/>
        <v>0</v>
      </c>
      <c r="AG49" s="110">
        <f t="shared" ca="1" si="4"/>
        <v>0</v>
      </c>
      <c r="AH49" s="110">
        <f t="shared" ca="1" si="4"/>
        <v>0</v>
      </c>
      <c r="AI49" s="110">
        <f t="shared" ca="1" si="4"/>
        <v>0</v>
      </c>
      <c r="AJ49" s="110">
        <f t="shared" ca="1" si="4"/>
        <v>0</v>
      </c>
      <c r="AK49" s="110">
        <f t="shared" ca="1" si="4"/>
        <v>0</v>
      </c>
      <c r="AL49" s="110">
        <f t="shared" ca="1" si="5"/>
        <v>0</v>
      </c>
      <c r="AM49" s="110">
        <f t="shared" ca="1" si="5"/>
        <v>0</v>
      </c>
      <c r="AN49" s="110">
        <f t="shared" ca="1" si="5"/>
        <v>0</v>
      </c>
      <c r="AO49" s="110">
        <f t="shared" ca="1" si="5"/>
        <v>0</v>
      </c>
    </row>
    <row r="50" spans="4:41">
      <c r="D50" s="106">
        <f t="shared" ca="1" si="7"/>
        <v>45203</v>
      </c>
      <c r="E50" s="110">
        <f t="shared" ca="1" si="6"/>
        <v>0</v>
      </c>
      <c r="F50" s="110">
        <f t="shared" ca="1" si="3"/>
        <v>0</v>
      </c>
      <c r="G50" s="110">
        <f t="shared" ca="1" si="3"/>
        <v>0</v>
      </c>
      <c r="H50" s="110">
        <f t="shared" ca="1" si="3"/>
        <v>0</v>
      </c>
      <c r="I50" s="110">
        <f t="shared" ca="1" si="3"/>
        <v>0</v>
      </c>
      <c r="J50" s="110">
        <f t="shared" ca="1" si="3"/>
        <v>0</v>
      </c>
      <c r="K50" s="110">
        <f t="shared" ca="1" si="3"/>
        <v>0</v>
      </c>
      <c r="L50" s="110">
        <f t="shared" ca="1" si="3"/>
        <v>0</v>
      </c>
      <c r="M50" s="110">
        <f t="shared" ca="1" si="3"/>
        <v>0</v>
      </c>
      <c r="N50" s="110">
        <f t="shared" ca="1" si="3"/>
        <v>0</v>
      </c>
      <c r="O50" s="110">
        <f t="shared" ca="1" si="3"/>
        <v>0</v>
      </c>
      <c r="P50" s="110">
        <f t="shared" ca="1" si="3"/>
        <v>0</v>
      </c>
      <c r="Q50" s="110">
        <f t="shared" ca="1" si="3"/>
        <v>0</v>
      </c>
      <c r="R50" s="110">
        <f t="shared" ca="1" si="3"/>
        <v>0</v>
      </c>
      <c r="S50" s="110">
        <f t="shared" ca="1" si="3"/>
        <v>0</v>
      </c>
      <c r="T50" s="110">
        <f t="shared" ca="1" si="3"/>
        <v>0</v>
      </c>
      <c r="U50" s="110">
        <f t="shared" ca="1" si="3"/>
        <v>0</v>
      </c>
      <c r="V50" s="110">
        <f t="shared" ca="1" si="4"/>
        <v>0</v>
      </c>
      <c r="W50" s="110">
        <f t="shared" ca="1" si="4"/>
        <v>0</v>
      </c>
      <c r="X50" s="110">
        <f t="shared" ca="1" si="4"/>
        <v>0</v>
      </c>
      <c r="Y50" s="110">
        <f t="shared" ca="1" si="4"/>
        <v>0</v>
      </c>
      <c r="Z50" s="110">
        <f t="shared" ca="1" si="4"/>
        <v>0</v>
      </c>
      <c r="AA50" s="110">
        <f t="shared" ca="1" si="4"/>
        <v>0</v>
      </c>
      <c r="AB50" s="110">
        <f t="shared" ca="1" si="4"/>
        <v>0</v>
      </c>
      <c r="AC50" s="110">
        <f t="shared" ca="1" si="4"/>
        <v>0</v>
      </c>
      <c r="AD50" s="110">
        <f t="shared" ca="1" si="4"/>
        <v>0</v>
      </c>
      <c r="AE50" s="110">
        <f t="shared" ca="1" si="4"/>
        <v>0</v>
      </c>
      <c r="AF50" s="110">
        <f t="shared" ca="1" si="4"/>
        <v>0</v>
      </c>
      <c r="AG50" s="110">
        <f t="shared" ca="1" si="4"/>
        <v>0</v>
      </c>
      <c r="AH50" s="110">
        <f t="shared" ca="1" si="4"/>
        <v>0</v>
      </c>
      <c r="AI50" s="110">
        <f t="shared" ca="1" si="4"/>
        <v>0</v>
      </c>
      <c r="AJ50" s="110">
        <f t="shared" ca="1" si="4"/>
        <v>0</v>
      </c>
      <c r="AK50" s="110">
        <f t="shared" ca="1" si="4"/>
        <v>0</v>
      </c>
      <c r="AL50" s="110">
        <f t="shared" ca="1" si="5"/>
        <v>0</v>
      </c>
      <c r="AM50" s="110">
        <f t="shared" ca="1" si="5"/>
        <v>0</v>
      </c>
      <c r="AN50" s="110">
        <f t="shared" ca="1" si="5"/>
        <v>0</v>
      </c>
      <c r="AO50" s="110">
        <f t="shared" ca="1" si="5"/>
        <v>0</v>
      </c>
    </row>
    <row r="51" spans="4:41">
      <c r="D51" s="106">
        <f t="shared" ca="1" si="7"/>
        <v>45204</v>
      </c>
      <c r="E51" s="110">
        <f t="shared" ca="1" si="6"/>
        <v>0</v>
      </c>
      <c r="F51" s="110">
        <f t="shared" ca="1" si="3"/>
        <v>0</v>
      </c>
      <c r="G51" s="110">
        <f t="shared" ca="1" si="3"/>
        <v>0</v>
      </c>
      <c r="H51" s="110">
        <f t="shared" ca="1" si="3"/>
        <v>0</v>
      </c>
      <c r="I51" s="110">
        <f t="shared" ca="1" si="3"/>
        <v>0</v>
      </c>
      <c r="J51" s="110">
        <f t="shared" ca="1" si="3"/>
        <v>0</v>
      </c>
      <c r="K51" s="110">
        <f t="shared" ca="1" si="3"/>
        <v>0</v>
      </c>
      <c r="L51" s="110">
        <f t="shared" ca="1" si="3"/>
        <v>0</v>
      </c>
      <c r="M51" s="110">
        <f t="shared" ca="1" si="3"/>
        <v>0</v>
      </c>
      <c r="N51" s="110">
        <f t="shared" ca="1" si="3"/>
        <v>0</v>
      </c>
      <c r="O51" s="110">
        <f t="shared" ca="1" si="3"/>
        <v>0</v>
      </c>
      <c r="P51" s="110">
        <f t="shared" ca="1" si="3"/>
        <v>0</v>
      </c>
      <c r="Q51" s="110">
        <f t="shared" ca="1" si="3"/>
        <v>0</v>
      </c>
      <c r="R51" s="110">
        <f t="shared" ca="1" si="3"/>
        <v>0</v>
      </c>
      <c r="S51" s="110">
        <f t="shared" ca="1" si="3"/>
        <v>0</v>
      </c>
      <c r="T51" s="110">
        <f t="shared" ca="1" si="3"/>
        <v>0</v>
      </c>
      <c r="U51" s="110">
        <f t="shared" ca="1" si="3"/>
        <v>0</v>
      </c>
      <c r="V51" s="110">
        <f t="shared" ca="1" si="4"/>
        <v>0</v>
      </c>
      <c r="W51" s="110">
        <f t="shared" ca="1" si="4"/>
        <v>0</v>
      </c>
      <c r="X51" s="110">
        <f t="shared" ca="1" si="4"/>
        <v>0</v>
      </c>
      <c r="Y51" s="110">
        <f t="shared" ca="1" si="4"/>
        <v>0</v>
      </c>
      <c r="Z51" s="110">
        <f t="shared" ca="1" si="4"/>
        <v>0</v>
      </c>
      <c r="AA51" s="110">
        <f t="shared" ca="1" si="4"/>
        <v>0</v>
      </c>
      <c r="AB51" s="110">
        <f t="shared" ca="1" si="4"/>
        <v>0</v>
      </c>
      <c r="AC51" s="110">
        <f t="shared" ca="1" si="4"/>
        <v>0</v>
      </c>
      <c r="AD51" s="110">
        <f t="shared" ca="1" si="4"/>
        <v>0</v>
      </c>
      <c r="AE51" s="110">
        <f t="shared" ca="1" si="4"/>
        <v>0</v>
      </c>
      <c r="AF51" s="110">
        <f t="shared" ca="1" si="4"/>
        <v>0</v>
      </c>
      <c r="AG51" s="110">
        <f t="shared" ca="1" si="4"/>
        <v>0</v>
      </c>
      <c r="AH51" s="110">
        <f t="shared" ca="1" si="4"/>
        <v>0</v>
      </c>
      <c r="AI51" s="110">
        <f t="shared" ca="1" si="4"/>
        <v>0</v>
      </c>
      <c r="AJ51" s="110">
        <f t="shared" ca="1" si="4"/>
        <v>0</v>
      </c>
      <c r="AK51" s="110">
        <f t="shared" ca="1" si="4"/>
        <v>0</v>
      </c>
      <c r="AL51" s="110">
        <f t="shared" ca="1" si="5"/>
        <v>0</v>
      </c>
      <c r="AM51" s="110">
        <f t="shared" ca="1" si="5"/>
        <v>0</v>
      </c>
      <c r="AN51" s="110">
        <f t="shared" ca="1" si="5"/>
        <v>0</v>
      </c>
      <c r="AO51" s="110">
        <f t="shared" ca="1" si="5"/>
        <v>0</v>
      </c>
    </row>
    <row r="52" spans="4:41">
      <c r="D52" s="106">
        <f t="shared" ca="1" si="7"/>
        <v>45205</v>
      </c>
      <c r="E52" s="110">
        <f t="shared" ca="1" si="6"/>
        <v>0</v>
      </c>
      <c r="F52" s="110">
        <f t="shared" ca="1" si="3"/>
        <v>0</v>
      </c>
      <c r="G52" s="110">
        <f t="shared" ca="1" si="3"/>
        <v>0</v>
      </c>
      <c r="H52" s="110">
        <f t="shared" ca="1" si="3"/>
        <v>0</v>
      </c>
      <c r="I52" s="110">
        <f t="shared" ca="1" si="3"/>
        <v>0</v>
      </c>
      <c r="J52" s="110">
        <f t="shared" ca="1" si="3"/>
        <v>0</v>
      </c>
      <c r="K52" s="110">
        <f t="shared" ca="1" si="3"/>
        <v>0</v>
      </c>
      <c r="L52" s="110">
        <f t="shared" ca="1" si="3"/>
        <v>0</v>
      </c>
      <c r="M52" s="110">
        <f t="shared" ca="1" si="3"/>
        <v>0</v>
      </c>
      <c r="N52" s="110">
        <f t="shared" ca="1" si="3"/>
        <v>0</v>
      </c>
      <c r="O52" s="110">
        <f t="shared" ca="1" si="3"/>
        <v>0</v>
      </c>
      <c r="P52" s="110">
        <f t="shared" ca="1" si="3"/>
        <v>0</v>
      </c>
      <c r="Q52" s="110">
        <f t="shared" ca="1" si="3"/>
        <v>0</v>
      </c>
      <c r="R52" s="110">
        <f t="shared" ca="1" si="3"/>
        <v>0</v>
      </c>
      <c r="S52" s="110">
        <f t="shared" ca="1" si="3"/>
        <v>0</v>
      </c>
      <c r="T52" s="110">
        <f t="shared" ca="1" si="3"/>
        <v>0</v>
      </c>
      <c r="U52" s="110">
        <f t="shared" ref="U52:AJ67" ca="1" si="8">IFERROR((OptionPrice(LEFT($C$42),U$35,$C$37,($C$38-$D52+1)/365,$C$39,$C$41,$C$40)-$C$43)*$C$44,0)</f>
        <v>0</v>
      </c>
      <c r="V52" s="110">
        <f t="shared" ca="1" si="4"/>
        <v>0</v>
      </c>
      <c r="W52" s="110">
        <f t="shared" ca="1" si="4"/>
        <v>0</v>
      </c>
      <c r="X52" s="110">
        <f t="shared" ca="1" si="4"/>
        <v>0</v>
      </c>
      <c r="Y52" s="110">
        <f t="shared" ca="1" si="4"/>
        <v>0</v>
      </c>
      <c r="Z52" s="110">
        <f t="shared" ca="1" si="4"/>
        <v>0</v>
      </c>
      <c r="AA52" s="110">
        <f t="shared" ca="1" si="4"/>
        <v>0</v>
      </c>
      <c r="AB52" s="110">
        <f t="shared" ca="1" si="4"/>
        <v>0</v>
      </c>
      <c r="AC52" s="110">
        <f t="shared" ca="1" si="4"/>
        <v>0</v>
      </c>
      <c r="AD52" s="110">
        <f t="shared" ca="1" si="4"/>
        <v>0</v>
      </c>
      <c r="AE52" s="110">
        <f t="shared" ca="1" si="4"/>
        <v>0</v>
      </c>
      <c r="AF52" s="110">
        <f t="shared" ca="1" si="4"/>
        <v>0</v>
      </c>
      <c r="AG52" s="110">
        <f t="shared" ca="1" si="4"/>
        <v>0</v>
      </c>
      <c r="AH52" s="110">
        <f t="shared" ca="1" si="4"/>
        <v>0</v>
      </c>
      <c r="AI52" s="110">
        <f t="shared" ca="1" si="4"/>
        <v>0</v>
      </c>
      <c r="AJ52" s="110">
        <f t="shared" ca="1" si="4"/>
        <v>0</v>
      </c>
      <c r="AK52" s="110">
        <f t="shared" ref="AK52:AK67" ca="1" si="9">IFERROR((OptionPrice(LEFT($C$42),AK$35,$C$37,($C$38-$D52+1)/365,$C$39,$C$41,$C$40)-$C$43)*$C$44,0)</f>
        <v>0</v>
      </c>
      <c r="AL52" s="110">
        <f t="shared" ca="1" si="5"/>
        <v>0</v>
      </c>
      <c r="AM52" s="110">
        <f t="shared" ca="1" si="5"/>
        <v>0</v>
      </c>
      <c r="AN52" s="110">
        <f t="shared" ca="1" si="5"/>
        <v>0</v>
      </c>
      <c r="AO52" s="110">
        <f t="shared" ca="1" si="5"/>
        <v>0</v>
      </c>
    </row>
    <row r="53" spans="4:41">
      <c r="D53" s="106">
        <f t="shared" ca="1" si="7"/>
        <v>45208</v>
      </c>
      <c r="E53" s="110">
        <f t="shared" ca="1" si="6"/>
        <v>0</v>
      </c>
      <c r="F53" s="110">
        <f t="shared" ca="1" si="6"/>
        <v>0</v>
      </c>
      <c r="G53" s="110">
        <f t="shared" ca="1" si="6"/>
        <v>0</v>
      </c>
      <c r="H53" s="110">
        <f t="shared" ca="1" si="6"/>
        <v>0</v>
      </c>
      <c r="I53" s="110">
        <f t="shared" ca="1" si="6"/>
        <v>0</v>
      </c>
      <c r="J53" s="110">
        <f t="shared" ca="1" si="6"/>
        <v>0</v>
      </c>
      <c r="K53" s="110">
        <f t="shared" ca="1" si="6"/>
        <v>0</v>
      </c>
      <c r="L53" s="110">
        <f t="shared" ca="1" si="6"/>
        <v>0</v>
      </c>
      <c r="M53" s="110">
        <f t="shared" ca="1" si="6"/>
        <v>0</v>
      </c>
      <c r="N53" s="110">
        <f t="shared" ca="1" si="6"/>
        <v>0</v>
      </c>
      <c r="O53" s="110">
        <f t="shared" ca="1" si="6"/>
        <v>0</v>
      </c>
      <c r="P53" s="110">
        <f t="shared" ca="1" si="6"/>
        <v>0</v>
      </c>
      <c r="Q53" s="110">
        <f t="shared" ca="1" si="6"/>
        <v>0</v>
      </c>
      <c r="R53" s="110">
        <f t="shared" ca="1" si="6"/>
        <v>0</v>
      </c>
      <c r="S53" s="110">
        <f t="shared" ca="1" si="6"/>
        <v>0</v>
      </c>
      <c r="T53" s="110">
        <f t="shared" ca="1" si="6"/>
        <v>0</v>
      </c>
      <c r="U53" s="110">
        <f t="shared" ca="1" si="8"/>
        <v>0</v>
      </c>
      <c r="V53" s="110">
        <f t="shared" ca="1" si="8"/>
        <v>0</v>
      </c>
      <c r="W53" s="110">
        <f t="shared" ca="1" si="8"/>
        <v>0</v>
      </c>
      <c r="X53" s="110">
        <f t="shared" ca="1" si="8"/>
        <v>0</v>
      </c>
      <c r="Y53" s="110">
        <f t="shared" ca="1" si="8"/>
        <v>0</v>
      </c>
      <c r="Z53" s="110">
        <f t="shared" ca="1" si="8"/>
        <v>0</v>
      </c>
      <c r="AA53" s="110">
        <f t="shared" ca="1" si="8"/>
        <v>0</v>
      </c>
      <c r="AB53" s="110">
        <f t="shared" ca="1" si="8"/>
        <v>0</v>
      </c>
      <c r="AC53" s="110">
        <f t="shared" ca="1" si="8"/>
        <v>0</v>
      </c>
      <c r="AD53" s="110">
        <f t="shared" ca="1" si="8"/>
        <v>0</v>
      </c>
      <c r="AE53" s="110">
        <f t="shared" ca="1" si="8"/>
        <v>0</v>
      </c>
      <c r="AF53" s="110">
        <f t="shared" ca="1" si="8"/>
        <v>0</v>
      </c>
      <c r="AG53" s="110">
        <f t="shared" ca="1" si="8"/>
        <v>0</v>
      </c>
      <c r="AH53" s="110">
        <f t="shared" ca="1" si="8"/>
        <v>0</v>
      </c>
      <c r="AI53" s="110">
        <f t="shared" ca="1" si="8"/>
        <v>0</v>
      </c>
      <c r="AJ53" s="110">
        <f t="shared" ca="1" si="8"/>
        <v>0</v>
      </c>
      <c r="AK53" s="110">
        <f t="shared" ca="1" si="9"/>
        <v>0</v>
      </c>
      <c r="AL53" s="110">
        <f t="shared" ca="1" si="5"/>
        <v>0</v>
      </c>
      <c r="AM53" s="110">
        <f t="shared" ca="1" si="5"/>
        <v>0</v>
      </c>
      <c r="AN53" s="110">
        <f t="shared" ca="1" si="5"/>
        <v>0</v>
      </c>
      <c r="AO53" s="110">
        <f t="shared" ca="1" si="5"/>
        <v>0</v>
      </c>
    </row>
    <row r="54" spans="4:41">
      <c r="D54" s="106">
        <f t="shared" ca="1" si="7"/>
        <v>45209</v>
      </c>
      <c r="E54" s="110">
        <f t="shared" ref="E54:T68" ca="1" si="10">IFERROR((OptionPrice(LEFT($C$42),E$35,$C$37,($C$38-$D54+1)/365,$C$39,$C$41,$C$40)-$C$43)*$C$44,0)</f>
        <v>0</v>
      </c>
      <c r="F54" s="110">
        <f t="shared" ca="1" si="10"/>
        <v>0</v>
      </c>
      <c r="G54" s="110">
        <f t="shared" ca="1" si="10"/>
        <v>0</v>
      </c>
      <c r="H54" s="110">
        <f t="shared" ca="1" si="10"/>
        <v>0</v>
      </c>
      <c r="I54" s="110">
        <f t="shared" ca="1" si="10"/>
        <v>0</v>
      </c>
      <c r="J54" s="110">
        <f t="shared" ca="1" si="10"/>
        <v>0</v>
      </c>
      <c r="K54" s="110">
        <f t="shared" ca="1" si="10"/>
        <v>0</v>
      </c>
      <c r="L54" s="110">
        <f t="shared" ca="1" si="10"/>
        <v>0</v>
      </c>
      <c r="M54" s="110">
        <f t="shared" ca="1" si="10"/>
        <v>0</v>
      </c>
      <c r="N54" s="110">
        <f t="shared" ca="1" si="10"/>
        <v>0</v>
      </c>
      <c r="O54" s="110">
        <f t="shared" ca="1" si="10"/>
        <v>0</v>
      </c>
      <c r="P54" s="110">
        <f t="shared" ca="1" si="10"/>
        <v>0</v>
      </c>
      <c r="Q54" s="110">
        <f t="shared" ca="1" si="10"/>
        <v>0</v>
      </c>
      <c r="R54" s="110">
        <f t="shared" ca="1" si="10"/>
        <v>0</v>
      </c>
      <c r="S54" s="110">
        <f t="shared" ca="1" si="10"/>
        <v>0</v>
      </c>
      <c r="T54" s="110">
        <f t="shared" ca="1" si="10"/>
        <v>0</v>
      </c>
      <c r="U54" s="110">
        <f t="shared" ca="1" si="8"/>
        <v>0</v>
      </c>
      <c r="V54" s="110">
        <f t="shared" ca="1" si="8"/>
        <v>0</v>
      </c>
      <c r="W54" s="110">
        <f t="shared" ca="1" si="8"/>
        <v>0</v>
      </c>
      <c r="X54" s="110">
        <f t="shared" ca="1" si="8"/>
        <v>0</v>
      </c>
      <c r="Y54" s="110">
        <f t="shared" ca="1" si="8"/>
        <v>0</v>
      </c>
      <c r="Z54" s="110">
        <f t="shared" ca="1" si="8"/>
        <v>0</v>
      </c>
      <c r="AA54" s="110">
        <f t="shared" ca="1" si="8"/>
        <v>0</v>
      </c>
      <c r="AB54" s="110">
        <f t="shared" ca="1" si="8"/>
        <v>0</v>
      </c>
      <c r="AC54" s="110">
        <f t="shared" ca="1" si="8"/>
        <v>0</v>
      </c>
      <c r="AD54" s="110">
        <f t="shared" ca="1" si="8"/>
        <v>0</v>
      </c>
      <c r="AE54" s="110">
        <f t="shared" ca="1" si="8"/>
        <v>0</v>
      </c>
      <c r="AF54" s="110">
        <f t="shared" ca="1" si="8"/>
        <v>0</v>
      </c>
      <c r="AG54" s="110">
        <f t="shared" ca="1" si="8"/>
        <v>0</v>
      </c>
      <c r="AH54" s="110">
        <f t="shared" ca="1" si="8"/>
        <v>0</v>
      </c>
      <c r="AI54" s="110">
        <f t="shared" ca="1" si="8"/>
        <v>0</v>
      </c>
      <c r="AJ54" s="110">
        <f t="shared" ca="1" si="8"/>
        <v>0</v>
      </c>
      <c r="AK54" s="110">
        <f t="shared" ca="1" si="9"/>
        <v>0</v>
      </c>
      <c r="AL54" s="110">
        <f t="shared" ca="1" si="5"/>
        <v>0</v>
      </c>
      <c r="AM54" s="110">
        <f t="shared" ca="1" si="5"/>
        <v>0</v>
      </c>
      <c r="AN54" s="110">
        <f t="shared" ca="1" si="5"/>
        <v>0</v>
      </c>
      <c r="AO54" s="110">
        <f t="shared" ca="1" si="5"/>
        <v>0</v>
      </c>
    </row>
    <row r="55" spans="4:41">
      <c r="D55" s="106">
        <f t="shared" ca="1" si="7"/>
        <v>45210</v>
      </c>
      <c r="E55" s="110">
        <f t="shared" ca="1" si="10"/>
        <v>0</v>
      </c>
      <c r="F55" s="110">
        <f t="shared" ca="1" si="10"/>
        <v>0</v>
      </c>
      <c r="G55" s="110">
        <f t="shared" ca="1" si="10"/>
        <v>0</v>
      </c>
      <c r="H55" s="110">
        <f t="shared" ca="1" si="10"/>
        <v>0</v>
      </c>
      <c r="I55" s="110">
        <f t="shared" ca="1" si="10"/>
        <v>0</v>
      </c>
      <c r="J55" s="110">
        <f t="shared" ca="1" si="10"/>
        <v>0</v>
      </c>
      <c r="K55" s="110">
        <f t="shared" ca="1" si="10"/>
        <v>0</v>
      </c>
      <c r="L55" s="110">
        <f t="shared" ca="1" si="10"/>
        <v>0</v>
      </c>
      <c r="M55" s="110">
        <f t="shared" ca="1" si="10"/>
        <v>0</v>
      </c>
      <c r="N55" s="110">
        <f t="shared" ca="1" si="10"/>
        <v>0</v>
      </c>
      <c r="O55" s="110">
        <f t="shared" ca="1" si="10"/>
        <v>0</v>
      </c>
      <c r="P55" s="110">
        <f t="shared" ca="1" si="10"/>
        <v>0</v>
      </c>
      <c r="Q55" s="110">
        <f t="shared" ca="1" si="10"/>
        <v>0</v>
      </c>
      <c r="R55" s="110">
        <f t="shared" ca="1" si="10"/>
        <v>0</v>
      </c>
      <c r="S55" s="110">
        <f t="shared" ca="1" si="10"/>
        <v>0</v>
      </c>
      <c r="T55" s="110">
        <f t="shared" ca="1" si="10"/>
        <v>0</v>
      </c>
      <c r="U55" s="110">
        <f t="shared" ca="1" si="8"/>
        <v>0</v>
      </c>
      <c r="V55" s="110">
        <f t="shared" ca="1" si="8"/>
        <v>0</v>
      </c>
      <c r="W55" s="110">
        <f t="shared" ca="1" si="8"/>
        <v>0</v>
      </c>
      <c r="X55" s="110">
        <f t="shared" ca="1" si="8"/>
        <v>0</v>
      </c>
      <c r="Y55" s="110">
        <f t="shared" ca="1" si="8"/>
        <v>0</v>
      </c>
      <c r="Z55" s="110">
        <f t="shared" ca="1" si="8"/>
        <v>0</v>
      </c>
      <c r="AA55" s="110">
        <f t="shared" ca="1" si="8"/>
        <v>0</v>
      </c>
      <c r="AB55" s="110">
        <f t="shared" ca="1" si="8"/>
        <v>0</v>
      </c>
      <c r="AC55" s="110">
        <f t="shared" ca="1" si="8"/>
        <v>0</v>
      </c>
      <c r="AD55" s="110">
        <f t="shared" ca="1" si="8"/>
        <v>0</v>
      </c>
      <c r="AE55" s="110">
        <f t="shared" ca="1" si="8"/>
        <v>0</v>
      </c>
      <c r="AF55" s="110">
        <f t="shared" ca="1" si="8"/>
        <v>0</v>
      </c>
      <c r="AG55" s="110">
        <f t="shared" ca="1" si="8"/>
        <v>0</v>
      </c>
      <c r="AH55" s="110">
        <f t="shared" ca="1" si="8"/>
        <v>0</v>
      </c>
      <c r="AI55" s="110">
        <f t="shared" ca="1" si="8"/>
        <v>0</v>
      </c>
      <c r="AJ55" s="110">
        <f t="shared" ca="1" si="8"/>
        <v>0</v>
      </c>
      <c r="AK55" s="110">
        <f t="shared" ca="1" si="9"/>
        <v>0</v>
      </c>
      <c r="AL55" s="110">
        <f t="shared" ca="1" si="5"/>
        <v>0</v>
      </c>
      <c r="AM55" s="110">
        <f t="shared" ca="1" si="5"/>
        <v>0</v>
      </c>
      <c r="AN55" s="110">
        <f t="shared" ca="1" si="5"/>
        <v>0</v>
      </c>
      <c r="AO55" s="110">
        <f t="shared" ca="1" si="5"/>
        <v>0</v>
      </c>
    </row>
    <row r="56" spans="4:41">
      <c r="D56" s="106">
        <f t="shared" ca="1" si="7"/>
        <v>45211</v>
      </c>
      <c r="E56" s="110">
        <f t="shared" ca="1" si="10"/>
        <v>0</v>
      </c>
      <c r="F56" s="110">
        <f t="shared" ca="1" si="10"/>
        <v>0</v>
      </c>
      <c r="G56" s="110">
        <f t="shared" ca="1" si="10"/>
        <v>0</v>
      </c>
      <c r="H56" s="110">
        <f t="shared" ca="1" si="10"/>
        <v>0</v>
      </c>
      <c r="I56" s="110">
        <f t="shared" ca="1" si="10"/>
        <v>0</v>
      </c>
      <c r="J56" s="110">
        <f t="shared" ca="1" si="10"/>
        <v>0</v>
      </c>
      <c r="K56" s="110">
        <f t="shared" ca="1" si="10"/>
        <v>0</v>
      </c>
      <c r="L56" s="110">
        <f t="shared" ca="1" si="10"/>
        <v>0</v>
      </c>
      <c r="M56" s="110">
        <f t="shared" ca="1" si="10"/>
        <v>0</v>
      </c>
      <c r="N56" s="110">
        <f t="shared" ca="1" si="10"/>
        <v>0</v>
      </c>
      <c r="O56" s="110">
        <f t="shared" ca="1" si="10"/>
        <v>0</v>
      </c>
      <c r="P56" s="110">
        <f t="shared" ca="1" si="10"/>
        <v>0</v>
      </c>
      <c r="Q56" s="110">
        <f t="shared" ca="1" si="10"/>
        <v>0</v>
      </c>
      <c r="R56" s="110">
        <f t="shared" ca="1" si="10"/>
        <v>0</v>
      </c>
      <c r="S56" s="110">
        <f t="shared" ca="1" si="10"/>
        <v>0</v>
      </c>
      <c r="T56" s="110">
        <f t="shared" ca="1" si="10"/>
        <v>0</v>
      </c>
      <c r="U56" s="110">
        <f t="shared" ca="1" si="8"/>
        <v>0</v>
      </c>
      <c r="V56" s="110">
        <f t="shared" ca="1" si="8"/>
        <v>0</v>
      </c>
      <c r="W56" s="110">
        <f t="shared" ca="1" si="8"/>
        <v>0</v>
      </c>
      <c r="X56" s="110">
        <f t="shared" ca="1" si="8"/>
        <v>0</v>
      </c>
      <c r="Y56" s="110">
        <f t="shared" ca="1" si="8"/>
        <v>0</v>
      </c>
      <c r="Z56" s="110">
        <f t="shared" ca="1" si="8"/>
        <v>0</v>
      </c>
      <c r="AA56" s="110">
        <f t="shared" ca="1" si="8"/>
        <v>0</v>
      </c>
      <c r="AB56" s="110">
        <f t="shared" ca="1" si="8"/>
        <v>0</v>
      </c>
      <c r="AC56" s="110">
        <f t="shared" ca="1" si="8"/>
        <v>0</v>
      </c>
      <c r="AD56" s="110">
        <f t="shared" ca="1" si="8"/>
        <v>0</v>
      </c>
      <c r="AE56" s="110">
        <f t="shared" ca="1" si="8"/>
        <v>0</v>
      </c>
      <c r="AF56" s="110">
        <f t="shared" ca="1" si="8"/>
        <v>0</v>
      </c>
      <c r="AG56" s="110">
        <f t="shared" ca="1" si="8"/>
        <v>0</v>
      </c>
      <c r="AH56" s="110">
        <f t="shared" ca="1" si="8"/>
        <v>0</v>
      </c>
      <c r="AI56" s="110">
        <f t="shared" ca="1" si="8"/>
        <v>0</v>
      </c>
      <c r="AJ56" s="110">
        <f t="shared" ca="1" si="8"/>
        <v>0</v>
      </c>
      <c r="AK56" s="110">
        <f t="shared" ca="1" si="9"/>
        <v>0</v>
      </c>
      <c r="AL56" s="110">
        <f t="shared" ca="1" si="5"/>
        <v>0</v>
      </c>
      <c r="AM56" s="110">
        <f t="shared" ca="1" si="5"/>
        <v>0</v>
      </c>
      <c r="AN56" s="110">
        <f t="shared" ca="1" si="5"/>
        <v>0</v>
      </c>
      <c r="AO56" s="110">
        <f t="shared" ca="1" si="5"/>
        <v>0</v>
      </c>
    </row>
    <row r="57" spans="4:41">
      <c r="D57" s="106">
        <f t="shared" ca="1" si="7"/>
        <v>45212</v>
      </c>
      <c r="E57" s="110">
        <f t="shared" ca="1" si="10"/>
        <v>0</v>
      </c>
      <c r="F57" s="110">
        <f t="shared" ca="1" si="10"/>
        <v>0</v>
      </c>
      <c r="G57" s="110">
        <f t="shared" ca="1" si="10"/>
        <v>0</v>
      </c>
      <c r="H57" s="110">
        <f t="shared" ca="1" si="10"/>
        <v>0</v>
      </c>
      <c r="I57" s="110">
        <f t="shared" ca="1" si="10"/>
        <v>0</v>
      </c>
      <c r="J57" s="110">
        <f t="shared" ca="1" si="10"/>
        <v>0</v>
      </c>
      <c r="K57" s="110">
        <f t="shared" ca="1" si="10"/>
        <v>0</v>
      </c>
      <c r="L57" s="110">
        <f t="shared" ca="1" si="10"/>
        <v>0</v>
      </c>
      <c r="M57" s="110">
        <f t="shared" ca="1" si="10"/>
        <v>0</v>
      </c>
      <c r="N57" s="110">
        <f t="shared" ca="1" si="10"/>
        <v>0</v>
      </c>
      <c r="O57" s="110">
        <f t="shared" ca="1" si="10"/>
        <v>0</v>
      </c>
      <c r="P57" s="110">
        <f t="shared" ca="1" si="10"/>
        <v>0</v>
      </c>
      <c r="Q57" s="110">
        <f t="shared" ca="1" si="10"/>
        <v>0</v>
      </c>
      <c r="R57" s="110">
        <f t="shared" ca="1" si="10"/>
        <v>0</v>
      </c>
      <c r="S57" s="110">
        <f t="shared" ca="1" si="10"/>
        <v>0</v>
      </c>
      <c r="T57" s="110">
        <f t="shared" ca="1" si="10"/>
        <v>0</v>
      </c>
      <c r="U57" s="110">
        <f t="shared" ca="1" si="8"/>
        <v>0</v>
      </c>
      <c r="V57" s="110">
        <f t="shared" ca="1" si="8"/>
        <v>0</v>
      </c>
      <c r="W57" s="110">
        <f t="shared" ca="1" si="8"/>
        <v>0</v>
      </c>
      <c r="X57" s="110">
        <f t="shared" ca="1" si="8"/>
        <v>0</v>
      </c>
      <c r="Y57" s="110">
        <f t="shared" ca="1" si="8"/>
        <v>0</v>
      </c>
      <c r="Z57" s="110">
        <f t="shared" ca="1" si="8"/>
        <v>0</v>
      </c>
      <c r="AA57" s="110">
        <f t="shared" ca="1" si="8"/>
        <v>0</v>
      </c>
      <c r="AB57" s="110">
        <f t="shared" ca="1" si="8"/>
        <v>0</v>
      </c>
      <c r="AC57" s="110">
        <f t="shared" ca="1" si="8"/>
        <v>0</v>
      </c>
      <c r="AD57" s="110">
        <f t="shared" ca="1" si="8"/>
        <v>0</v>
      </c>
      <c r="AE57" s="110">
        <f t="shared" ca="1" si="8"/>
        <v>0</v>
      </c>
      <c r="AF57" s="110">
        <f t="shared" ca="1" si="8"/>
        <v>0</v>
      </c>
      <c r="AG57" s="110">
        <f t="shared" ca="1" si="8"/>
        <v>0</v>
      </c>
      <c r="AH57" s="110">
        <f t="shared" ca="1" si="8"/>
        <v>0</v>
      </c>
      <c r="AI57" s="110">
        <f t="shared" ca="1" si="8"/>
        <v>0</v>
      </c>
      <c r="AJ57" s="110">
        <f t="shared" ca="1" si="8"/>
        <v>0</v>
      </c>
      <c r="AK57" s="110">
        <f t="shared" ca="1" si="9"/>
        <v>0</v>
      </c>
      <c r="AL57" s="110">
        <f t="shared" ca="1" si="5"/>
        <v>0</v>
      </c>
      <c r="AM57" s="110">
        <f t="shared" ca="1" si="5"/>
        <v>0</v>
      </c>
      <c r="AN57" s="110">
        <f t="shared" ca="1" si="5"/>
        <v>0</v>
      </c>
      <c r="AO57" s="110">
        <f t="shared" ca="1" si="5"/>
        <v>0</v>
      </c>
    </row>
    <row r="58" spans="4:41">
      <c r="D58" s="106">
        <f t="shared" ca="1" si="7"/>
        <v>45215</v>
      </c>
      <c r="E58" s="110">
        <f t="shared" ca="1" si="10"/>
        <v>0</v>
      </c>
      <c r="F58" s="110">
        <f t="shared" ca="1" si="10"/>
        <v>0</v>
      </c>
      <c r="G58" s="110">
        <f t="shared" ca="1" si="10"/>
        <v>0</v>
      </c>
      <c r="H58" s="110">
        <f t="shared" ca="1" si="10"/>
        <v>0</v>
      </c>
      <c r="I58" s="110">
        <f t="shared" ca="1" si="10"/>
        <v>0</v>
      </c>
      <c r="J58" s="110">
        <f t="shared" ca="1" si="10"/>
        <v>0</v>
      </c>
      <c r="K58" s="110">
        <f t="shared" ca="1" si="10"/>
        <v>0</v>
      </c>
      <c r="L58" s="110">
        <f t="shared" ca="1" si="10"/>
        <v>0</v>
      </c>
      <c r="M58" s="110">
        <f t="shared" ca="1" si="10"/>
        <v>0</v>
      </c>
      <c r="N58" s="110">
        <f t="shared" ca="1" si="10"/>
        <v>0</v>
      </c>
      <c r="O58" s="110">
        <f t="shared" ca="1" si="10"/>
        <v>0</v>
      </c>
      <c r="P58" s="110">
        <f t="shared" ca="1" si="10"/>
        <v>0</v>
      </c>
      <c r="Q58" s="110">
        <f t="shared" ca="1" si="10"/>
        <v>0</v>
      </c>
      <c r="R58" s="110">
        <f t="shared" ca="1" si="10"/>
        <v>0</v>
      </c>
      <c r="S58" s="110">
        <f t="shared" ca="1" si="10"/>
        <v>0</v>
      </c>
      <c r="T58" s="110">
        <f t="shared" ca="1" si="10"/>
        <v>0</v>
      </c>
      <c r="U58" s="110">
        <f t="shared" ca="1" si="8"/>
        <v>0</v>
      </c>
      <c r="V58" s="110">
        <f t="shared" ca="1" si="8"/>
        <v>0</v>
      </c>
      <c r="W58" s="110">
        <f t="shared" ca="1" si="8"/>
        <v>0</v>
      </c>
      <c r="X58" s="110">
        <f t="shared" ca="1" si="8"/>
        <v>0</v>
      </c>
      <c r="Y58" s="110">
        <f t="shared" ca="1" si="8"/>
        <v>0</v>
      </c>
      <c r="Z58" s="110">
        <f t="shared" ca="1" si="8"/>
        <v>0</v>
      </c>
      <c r="AA58" s="110">
        <f t="shared" ca="1" si="8"/>
        <v>0</v>
      </c>
      <c r="AB58" s="110">
        <f t="shared" ca="1" si="8"/>
        <v>0</v>
      </c>
      <c r="AC58" s="110">
        <f t="shared" ca="1" si="8"/>
        <v>0</v>
      </c>
      <c r="AD58" s="110">
        <f t="shared" ca="1" si="8"/>
        <v>0</v>
      </c>
      <c r="AE58" s="110">
        <f t="shared" ca="1" si="8"/>
        <v>0</v>
      </c>
      <c r="AF58" s="110">
        <f t="shared" ca="1" si="8"/>
        <v>0</v>
      </c>
      <c r="AG58" s="110">
        <f t="shared" ca="1" si="8"/>
        <v>0</v>
      </c>
      <c r="AH58" s="110">
        <f t="shared" ca="1" si="8"/>
        <v>0</v>
      </c>
      <c r="AI58" s="110">
        <f t="shared" ca="1" si="8"/>
        <v>0</v>
      </c>
      <c r="AJ58" s="110">
        <f t="shared" ca="1" si="8"/>
        <v>0</v>
      </c>
      <c r="AK58" s="110">
        <f t="shared" ca="1" si="9"/>
        <v>0</v>
      </c>
      <c r="AL58" s="110">
        <f t="shared" ca="1" si="5"/>
        <v>0</v>
      </c>
      <c r="AM58" s="110">
        <f t="shared" ca="1" si="5"/>
        <v>0</v>
      </c>
      <c r="AN58" s="110">
        <f t="shared" ca="1" si="5"/>
        <v>0</v>
      </c>
      <c r="AO58" s="110">
        <f t="shared" ca="1" si="5"/>
        <v>0</v>
      </c>
    </row>
    <row r="59" spans="4:41">
      <c r="D59" s="106">
        <f t="shared" ca="1" si="7"/>
        <v>45216</v>
      </c>
      <c r="E59" s="110">
        <f t="shared" ca="1" si="10"/>
        <v>0</v>
      </c>
      <c r="F59" s="110">
        <f t="shared" ca="1" si="10"/>
        <v>0</v>
      </c>
      <c r="G59" s="110">
        <f t="shared" ca="1" si="10"/>
        <v>0</v>
      </c>
      <c r="H59" s="110">
        <f t="shared" ca="1" si="10"/>
        <v>0</v>
      </c>
      <c r="I59" s="110">
        <f t="shared" ca="1" si="10"/>
        <v>0</v>
      </c>
      <c r="J59" s="110">
        <f t="shared" ca="1" si="10"/>
        <v>0</v>
      </c>
      <c r="K59" s="110">
        <f t="shared" ca="1" si="10"/>
        <v>0</v>
      </c>
      <c r="L59" s="110">
        <f t="shared" ca="1" si="10"/>
        <v>0</v>
      </c>
      <c r="M59" s="110">
        <f t="shared" ca="1" si="10"/>
        <v>0</v>
      </c>
      <c r="N59" s="110">
        <f t="shared" ca="1" si="10"/>
        <v>0</v>
      </c>
      <c r="O59" s="110">
        <f t="shared" ca="1" si="10"/>
        <v>0</v>
      </c>
      <c r="P59" s="110">
        <f t="shared" ca="1" si="10"/>
        <v>0</v>
      </c>
      <c r="Q59" s="110">
        <f t="shared" ca="1" si="10"/>
        <v>0</v>
      </c>
      <c r="R59" s="110">
        <f t="shared" ca="1" si="10"/>
        <v>0</v>
      </c>
      <c r="S59" s="110">
        <f t="shared" ca="1" si="10"/>
        <v>0</v>
      </c>
      <c r="T59" s="110">
        <f t="shared" ca="1" si="10"/>
        <v>0</v>
      </c>
      <c r="U59" s="110">
        <f t="shared" ca="1" si="8"/>
        <v>0</v>
      </c>
      <c r="V59" s="110">
        <f t="shared" ca="1" si="8"/>
        <v>0</v>
      </c>
      <c r="W59" s="110">
        <f t="shared" ca="1" si="8"/>
        <v>0</v>
      </c>
      <c r="X59" s="110">
        <f t="shared" ca="1" si="8"/>
        <v>0</v>
      </c>
      <c r="Y59" s="110">
        <f t="shared" ca="1" si="8"/>
        <v>0</v>
      </c>
      <c r="Z59" s="110">
        <f t="shared" ca="1" si="8"/>
        <v>0</v>
      </c>
      <c r="AA59" s="110">
        <f t="shared" ca="1" si="8"/>
        <v>0</v>
      </c>
      <c r="AB59" s="110">
        <f t="shared" ca="1" si="8"/>
        <v>0</v>
      </c>
      <c r="AC59" s="110">
        <f t="shared" ca="1" si="8"/>
        <v>0</v>
      </c>
      <c r="AD59" s="110">
        <f t="shared" ca="1" si="8"/>
        <v>0</v>
      </c>
      <c r="AE59" s="110">
        <f t="shared" ca="1" si="8"/>
        <v>0</v>
      </c>
      <c r="AF59" s="110">
        <f t="shared" ca="1" si="8"/>
        <v>0</v>
      </c>
      <c r="AG59" s="110">
        <f t="shared" ca="1" si="8"/>
        <v>0</v>
      </c>
      <c r="AH59" s="110">
        <f t="shared" ca="1" si="8"/>
        <v>0</v>
      </c>
      <c r="AI59" s="110">
        <f t="shared" ca="1" si="8"/>
        <v>0</v>
      </c>
      <c r="AJ59" s="110">
        <f t="shared" ca="1" si="8"/>
        <v>0</v>
      </c>
      <c r="AK59" s="110">
        <f t="shared" ca="1" si="9"/>
        <v>0</v>
      </c>
      <c r="AL59" s="110">
        <f t="shared" ca="1" si="5"/>
        <v>0</v>
      </c>
      <c r="AM59" s="110">
        <f t="shared" ca="1" si="5"/>
        <v>0</v>
      </c>
      <c r="AN59" s="110">
        <f t="shared" ca="1" si="5"/>
        <v>0</v>
      </c>
      <c r="AO59" s="110">
        <f t="shared" ca="1" si="5"/>
        <v>0</v>
      </c>
    </row>
    <row r="60" spans="4:41">
      <c r="D60" s="106">
        <f t="shared" ca="1" si="7"/>
        <v>45217</v>
      </c>
      <c r="E60" s="110">
        <f t="shared" ca="1" si="10"/>
        <v>0</v>
      </c>
      <c r="F60" s="110">
        <f t="shared" ca="1" si="10"/>
        <v>0</v>
      </c>
      <c r="G60" s="110">
        <f t="shared" ca="1" si="10"/>
        <v>0</v>
      </c>
      <c r="H60" s="110">
        <f t="shared" ca="1" si="10"/>
        <v>0</v>
      </c>
      <c r="I60" s="110">
        <f t="shared" ca="1" si="10"/>
        <v>0</v>
      </c>
      <c r="J60" s="110">
        <f t="shared" ca="1" si="10"/>
        <v>0</v>
      </c>
      <c r="K60" s="110">
        <f t="shared" ca="1" si="10"/>
        <v>0</v>
      </c>
      <c r="L60" s="110">
        <f t="shared" ca="1" si="10"/>
        <v>0</v>
      </c>
      <c r="M60" s="110">
        <f t="shared" ca="1" si="10"/>
        <v>0</v>
      </c>
      <c r="N60" s="110">
        <f t="shared" ca="1" si="10"/>
        <v>0</v>
      </c>
      <c r="O60" s="110">
        <f t="shared" ca="1" si="10"/>
        <v>0</v>
      </c>
      <c r="P60" s="110">
        <f t="shared" ca="1" si="10"/>
        <v>0</v>
      </c>
      <c r="Q60" s="110">
        <f t="shared" ca="1" si="10"/>
        <v>0</v>
      </c>
      <c r="R60" s="110">
        <f t="shared" ca="1" si="10"/>
        <v>0</v>
      </c>
      <c r="S60" s="110">
        <f t="shared" ca="1" si="10"/>
        <v>0</v>
      </c>
      <c r="T60" s="110">
        <f t="shared" ca="1" si="10"/>
        <v>0</v>
      </c>
      <c r="U60" s="110">
        <f t="shared" ca="1" si="8"/>
        <v>0</v>
      </c>
      <c r="V60" s="110">
        <f t="shared" ca="1" si="8"/>
        <v>0</v>
      </c>
      <c r="W60" s="110">
        <f t="shared" ca="1" si="8"/>
        <v>0</v>
      </c>
      <c r="X60" s="110">
        <f t="shared" ca="1" si="8"/>
        <v>0</v>
      </c>
      <c r="Y60" s="110">
        <f t="shared" ca="1" si="8"/>
        <v>0</v>
      </c>
      <c r="Z60" s="110">
        <f t="shared" ca="1" si="8"/>
        <v>0</v>
      </c>
      <c r="AA60" s="110">
        <f t="shared" ca="1" si="8"/>
        <v>0</v>
      </c>
      <c r="AB60" s="110">
        <f t="shared" ca="1" si="8"/>
        <v>0</v>
      </c>
      <c r="AC60" s="110">
        <f t="shared" ca="1" si="8"/>
        <v>0</v>
      </c>
      <c r="AD60" s="110">
        <f t="shared" ca="1" si="8"/>
        <v>0</v>
      </c>
      <c r="AE60" s="110">
        <f t="shared" ca="1" si="8"/>
        <v>0</v>
      </c>
      <c r="AF60" s="110">
        <f t="shared" ca="1" si="8"/>
        <v>0</v>
      </c>
      <c r="AG60" s="110">
        <f t="shared" ca="1" si="8"/>
        <v>0</v>
      </c>
      <c r="AH60" s="110">
        <f t="shared" ca="1" si="8"/>
        <v>0</v>
      </c>
      <c r="AI60" s="110">
        <f t="shared" ca="1" si="8"/>
        <v>0</v>
      </c>
      <c r="AJ60" s="110">
        <f t="shared" ca="1" si="8"/>
        <v>0</v>
      </c>
      <c r="AK60" s="110">
        <f t="shared" ca="1" si="9"/>
        <v>0</v>
      </c>
      <c r="AL60" s="110">
        <f t="shared" ca="1" si="5"/>
        <v>0</v>
      </c>
      <c r="AM60" s="110">
        <f t="shared" ca="1" si="5"/>
        <v>0</v>
      </c>
      <c r="AN60" s="110">
        <f t="shared" ca="1" si="5"/>
        <v>0</v>
      </c>
      <c r="AO60" s="110">
        <f t="shared" ca="1" si="5"/>
        <v>0</v>
      </c>
    </row>
    <row r="61" spans="4:41">
      <c r="D61" s="106">
        <f t="shared" ca="1" si="7"/>
        <v>45218</v>
      </c>
      <c r="E61" s="110">
        <f t="shared" ca="1" si="10"/>
        <v>0</v>
      </c>
      <c r="F61" s="110">
        <f t="shared" ca="1" si="10"/>
        <v>0</v>
      </c>
      <c r="G61" s="110">
        <f t="shared" ca="1" si="10"/>
        <v>0</v>
      </c>
      <c r="H61" s="110">
        <f t="shared" ca="1" si="10"/>
        <v>0</v>
      </c>
      <c r="I61" s="110">
        <f t="shared" ca="1" si="10"/>
        <v>0</v>
      </c>
      <c r="J61" s="110">
        <f t="shared" ca="1" si="10"/>
        <v>0</v>
      </c>
      <c r="K61" s="110">
        <f t="shared" ca="1" si="10"/>
        <v>0</v>
      </c>
      <c r="L61" s="110">
        <f t="shared" ca="1" si="10"/>
        <v>0</v>
      </c>
      <c r="M61" s="110">
        <f t="shared" ca="1" si="10"/>
        <v>0</v>
      </c>
      <c r="N61" s="110">
        <f t="shared" ca="1" si="10"/>
        <v>0</v>
      </c>
      <c r="O61" s="110">
        <f t="shared" ca="1" si="10"/>
        <v>0</v>
      </c>
      <c r="P61" s="110">
        <f t="shared" ca="1" si="10"/>
        <v>0</v>
      </c>
      <c r="Q61" s="110">
        <f t="shared" ca="1" si="10"/>
        <v>0</v>
      </c>
      <c r="R61" s="110">
        <f t="shared" ca="1" si="10"/>
        <v>0</v>
      </c>
      <c r="S61" s="110">
        <f t="shared" ca="1" si="10"/>
        <v>0</v>
      </c>
      <c r="T61" s="110">
        <f t="shared" ca="1" si="10"/>
        <v>0</v>
      </c>
      <c r="U61" s="110">
        <f t="shared" ca="1" si="8"/>
        <v>0</v>
      </c>
      <c r="V61" s="110">
        <f t="shared" ca="1" si="8"/>
        <v>0</v>
      </c>
      <c r="W61" s="110">
        <f t="shared" ca="1" si="8"/>
        <v>0</v>
      </c>
      <c r="X61" s="110">
        <f t="shared" ca="1" si="8"/>
        <v>0</v>
      </c>
      <c r="Y61" s="110">
        <f t="shared" ca="1" si="8"/>
        <v>0</v>
      </c>
      <c r="Z61" s="110">
        <f t="shared" ca="1" si="8"/>
        <v>0</v>
      </c>
      <c r="AA61" s="110">
        <f t="shared" ca="1" si="8"/>
        <v>0</v>
      </c>
      <c r="AB61" s="110">
        <f t="shared" ca="1" si="8"/>
        <v>0</v>
      </c>
      <c r="AC61" s="110">
        <f t="shared" ca="1" si="8"/>
        <v>0</v>
      </c>
      <c r="AD61" s="110">
        <f t="shared" ca="1" si="8"/>
        <v>0</v>
      </c>
      <c r="AE61" s="110">
        <f t="shared" ca="1" si="8"/>
        <v>0</v>
      </c>
      <c r="AF61" s="110">
        <f t="shared" ca="1" si="8"/>
        <v>0</v>
      </c>
      <c r="AG61" s="110">
        <f t="shared" ca="1" si="8"/>
        <v>0</v>
      </c>
      <c r="AH61" s="110">
        <f t="shared" ca="1" si="8"/>
        <v>0</v>
      </c>
      <c r="AI61" s="110">
        <f t="shared" ca="1" si="8"/>
        <v>0</v>
      </c>
      <c r="AJ61" s="110">
        <f t="shared" ca="1" si="8"/>
        <v>0</v>
      </c>
      <c r="AK61" s="110">
        <f t="shared" ca="1" si="9"/>
        <v>0</v>
      </c>
      <c r="AL61" s="110">
        <f t="shared" ca="1" si="5"/>
        <v>0</v>
      </c>
      <c r="AM61" s="110">
        <f t="shared" ca="1" si="5"/>
        <v>0</v>
      </c>
      <c r="AN61" s="110">
        <f t="shared" ca="1" si="5"/>
        <v>0</v>
      </c>
      <c r="AO61" s="110">
        <f t="shared" ca="1" si="5"/>
        <v>0</v>
      </c>
    </row>
    <row r="62" spans="4:41">
      <c r="D62" s="106">
        <f t="shared" ca="1" si="7"/>
        <v>45219</v>
      </c>
      <c r="E62" s="110">
        <f t="shared" ca="1" si="10"/>
        <v>0</v>
      </c>
      <c r="F62" s="110">
        <f t="shared" ca="1" si="10"/>
        <v>0</v>
      </c>
      <c r="G62" s="110">
        <f t="shared" ca="1" si="10"/>
        <v>0</v>
      </c>
      <c r="H62" s="110">
        <f t="shared" ca="1" si="10"/>
        <v>0</v>
      </c>
      <c r="I62" s="110">
        <f t="shared" ca="1" si="10"/>
        <v>0</v>
      </c>
      <c r="J62" s="110">
        <f t="shared" ca="1" si="10"/>
        <v>0</v>
      </c>
      <c r="K62" s="110">
        <f t="shared" ca="1" si="10"/>
        <v>0</v>
      </c>
      <c r="L62" s="110">
        <f t="shared" ca="1" si="10"/>
        <v>0</v>
      </c>
      <c r="M62" s="110">
        <f t="shared" ca="1" si="10"/>
        <v>0</v>
      </c>
      <c r="N62" s="110">
        <f t="shared" ca="1" si="10"/>
        <v>0</v>
      </c>
      <c r="O62" s="110">
        <f t="shared" ca="1" si="10"/>
        <v>0</v>
      </c>
      <c r="P62" s="110">
        <f t="shared" ca="1" si="10"/>
        <v>0</v>
      </c>
      <c r="Q62" s="110">
        <f t="shared" ca="1" si="10"/>
        <v>0</v>
      </c>
      <c r="R62" s="110">
        <f t="shared" ca="1" si="10"/>
        <v>0</v>
      </c>
      <c r="S62" s="110">
        <f t="shared" ca="1" si="10"/>
        <v>0</v>
      </c>
      <c r="T62" s="110">
        <f t="shared" ca="1" si="10"/>
        <v>0</v>
      </c>
      <c r="U62" s="110">
        <f t="shared" ca="1" si="8"/>
        <v>0</v>
      </c>
      <c r="V62" s="110">
        <f t="shared" ca="1" si="8"/>
        <v>0</v>
      </c>
      <c r="W62" s="110">
        <f t="shared" ca="1" si="8"/>
        <v>0</v>
      </c>
      <c r="X62" s="110">
        <f t="shared" ca="1" si="8"/>
        <v>0</v>
      </c>
      <c r="Y62" s="110">
        <f t="shared" ca="1" si="8"/>
        <v>0</v>
      </c>
      <c r="Z62" s="110">
        <f t="shared" ca="1" si="8"/>
        <v>0</v>
      </c>
      <c r="AA62" s="110">
        <f t="shared" ca="1" si="8"/>
        <v>0</v>
      </c>
      <c r="AB62" s="110">
        <f t="shared" ca="1" si="8"/>
        <v>0</v>
      </c>
      <c r="AC62" s="110">
        <f t="shared" ca="1" si="8"/>
        <v>0</v>
      </c>
      <c r="AD62" s="110">
        <f t="shared" ca="1" si="8"/>
        <v>0</v>
      </c>
      <c r="AE62" s="110">
        <f t="shared" ca="1" si="8"/>
        <v>0</v>
      </c>
      <c r="AF62" s="110">
        <f t="shared" ca="1" si="8"/>
        <v>0</v>
      </c>
      <c r="AG62" s="110">
        <f t="shared" ca="1" si="8"/>
        <v>0</v>
      </c>
      <c r="AH62" s="110">
        <f t="shared" ca="1" si="8"/>
        <v>0</v>
      </c>
      <c r="AI62" s="110">
        <f t="shared" ca="1" si="8"/>
        <v>0</v>
      </c>
      <c r="AJ62" s="110">
        <f t="shared" ca="1" si="8"/>
        <v>0</v>
      </c>
      <c r="AK62" s="110">
        <f t="shared" ca="1" si="9"/>
        <v>0</v>
      </c>
      <c r="AL62" s="110">
        <f t="shared" ca="1" si="5"/>
        <v>0</v>
      </c>
      <c r="AM62" s="110">
        <f t="shared" ca="1" si="5"/>
        <v>0</v>
      </c>
      <c r="AN62" s="110">
        <f t="shared" ca="1" si="5"/>
        <v>0</v>
      </c>
      <c r="AO62" s="110">
        <f t="shared" ca="1" si="5"/>
        <v>0</v>
      </c>
    </row>
    <row r="63" spans="4:41">
      <c r="D63" s="106">
        <f t="shared" ca="1" si="7"/>
        <v>45222</v>
      </c>
      <c r="E63" s="110">
        <f t="shared" ca="1" si="10"/>
        <v>0</v>
      </c>
      <c r="F63" s="110">
        <f t="shared" ca="1" si="10"/>
        <v>0</v>
      </c>
      <c r="G63" s="110">
        <f t="shared" ca="1" si="10"/>
        <v>0</v>
      </c>
      <c r="H63" s="110">
        <f t="shared" ca="1" si="10"/>
        <v>0</v>
      </c>
      <c r="I63" s="110">
        <f t="shared" ca="1" si="10"/>
        <v>0</v>
      </c>
      <c r="J63" s="110">
        <f t="shared" ca="1" si="10"/>
        <v>0</v>
      </c>
      <c r="K63" s="110">
        <f t="shared" ca="1" si="10"/>
        <v>0</v>
      </c>
      <c r="L63" s="110">
        <f t="shared" ca="1" si="10"/>
        <v>0</v>
      </c>
      <c r="M63" s="110">
        <f t="shared" ca="1" si="10"/>
        <v>0</v>
      </c>
      <c r="N63" s="110">
        <f t="shared" ca="1" si="10"/>
        <v>0</v>
      </c>
      <c r="O63" s="110">
        <f t="shared" ca="1" si="10"/>
        <v>0</v>
      </c>
      <c r="P63" s="110">
        <f t="shared" ca="1" si="10"/>
        <v>0</v>
      </c>
      <c r="Q63" s="110">
        <f t="shared" ca="1" si="10"/>
        <v>0</v>
      </c>
      <c r="R63" s="110">
        <f t="shared" ca="1" si="10"/>
        <v>0</v>
      </c>
      <c r="S63" s="110">
        <f t="shared" ca="1" si="10"/>
        <v>0</v>
      </c>
      <c r="T63" s="110">
        <f t="shared" ca="1" si="10"/>
        <v>0</v>
      </c>
      <c r="U63" s="110">
        <f t="shared" ca="1" si="8"/>
        <v>0</v>
      </c>
      <c r="V63" s="110">
        <f t="shared" ca="1" si="8"/>
        <v>0</v>
      </c>
      <c r="W63" s="110">
        <f t="shared" ca="1" si="8"/>
        <v>0</v>
      </c>
      <c r="X63" s="110">
        <f t="shared" ca="1" si="8"/>
        <v>0</v>
      </c>
      <c r="Y63" s="110">
        <f t="shared" ca="1" si="8"/>
        <v>0</v>
      </c>
      <c r="Z63" s="110">
        <f t="shared" ca="1" si="8"/>
        <v>0</v>
      </c>
      <c r="AA63" s="110">
        <f t="shared" ca="1" si="8"/>
        <v>0</v>
      </c>
      <c r="AB63" s="110">
        <f t="shared" ca="1" si="8"/>
        <v>0</v>
      </c>
      <c r="AC63" s="110">
        <f t="shared" ca="1" si="8"/>
        <v>0</v>
      </c>
      <c r="AD63" s="110">
        <f t="shared" ca="1" si="8"/>
        <v>0</v>
      </c>
      <c r="AE63" s="110">
        <f t="shared" ca="1" si="8"/>
        <v>0</v>
      </c>
      <c r="AF63" s="110">
        <f t="shared" ca="1" si="8"/>
        <v>0</v>
      </c>
      <c r="AG63" s="110">
        <f t="shared" ca="1" si="8"/>
        <v>0</v>
      </c>
      <c r="AH63" s="110">
        <f t="shared" ca="1" si="8"/>
        <v>0</v>
      </c>
      <c r="AI63" s="110">
        <f t="shared" ca="1" si="8"/>
        <v>0</v>
      </c>
      <c r="AJ63" s="110">
        <f t="shared" ca="1" si="8"/>
        <v>0</v>
      </c>
      <c r="AK63" s="110">
        <f t="shared" ca="1" si="9"/>
        <v>0</v>
      </c>
      <c r="AL63" s="110">
        <f t="shared" ca="1" si="5"/>
        <v>0</v>
      </c>
      <c r="AM63" s="110">
        <f t="shared" ca="1" si="5"/>
        <v>0</v>
      </c>
      <c r="AN63" s="110">
        <f t="shared" ca="1" si="5"/>
        <v>0</v>
      </c>
      <c r="AO63" s="110">
        <f t="shared" ca="1" si="5"/>
        <v>0</v>
      </c>
    </row>
    <row r="64" spans="4:41">
      <c r="D64" s="106">
        <f t="shared" ca="1" si="7"/>
        <v>45223</v>
      </c>
      <c r="E64" s="110">
        <f t="shared" ca="1" si="10"/>
        <v>0</v>
      </c>
      <c r="F64" s="110">
        <f t="shared" ca="1" si="10"/>
        <v>0</v>
      </c>
      <c r="G64" s="110">
        <f t="shared" ca="1" si="10"/>
        <v>0</v>
      </c>
      <c r="H64" s="110">
        <f t="shared" ca="1" si="10"/>
        <v>0</v>
      </c>
      <c r="I64" s="110">
        <f t="shared" ca="1" si="10"/>
        <v>0</v>
      </c>
      <c r="J64" s="110">
        <f t="shared" ca="1" si="10"/>
        <v>0</v>
      </c>
      <c r="K64" s="110">
        <f t="shared" ca="1" si="10"/>
        <v>0</v>
      </c>
      <c r="L64" s="110">
        <f t="shared" ca="1" si="10"/>
        <v>0</v>
      </c>
      <c r="M64" s="110">
        <f t="shared" ca="1" si="10"/>
        <v>0</v>
      </c>
      <c r="N64" s="110">
        <f t="shared" ca="1" si="10"/>
        <v>0</v>
      </c>
      <c r="O64" s="110">
        <f t="shared" ca="1" si="10"/>
        <v>0</v>
      </c>
      <c r="P64" s="110">
        <f t="shared" ca="1" si="10"/>
        <v>0</v>
      </c>
      <c r="Q64" s="110">
        <f t="shared" ca="1" si="10"/>
        <v>0</v>
      </c>
      <c r="R64" s="110">
        <f t="shared" ca="1" si="10"/>
        <v>0</v>
      </c>
      <c r="S64" s="110">
        <f t="shared" ca="1" si="10"/>
        <v>0</v>
      </c>
      <c r="T64" s="110">
        <f t="shared" ca="1" si="10"/>
        <v>0</v>
      </c>
      <c r="U64" s="110">
        <f t="shared" ca="1" si="8"/>
        <v>0</v>
      </c>
      <c r="V64" s="110">
        <f t="shared" ca="1" si="8"/>
        <v>0</v>
      </c>
      <c r="W64" s="110">
        <f t="shared" ca="1" si="8"/>
        <v>0</v>
      </c>
      <c r="X64" s="110">
        <f t="shared" ca="1" si="8"/>
        <v>0</v>
      </c>
      <c r="Y64" s="110">
        <f t="shared" ca="1" si="8"/>
        <v>0</v>
      </c>
      <c r="Z64" s="110">
        <f t="shared" ca="1" si="8"/>
        <v>0</v>
      </c>
      <c r="AA64" s="110">
        <f t="shared" ca="1" si="8"/>
        <v>0</v>
      </c>
      <c r="AB64" s="110">
        <f t="shared" ca="1" si="8"/>
        <v>0</v>
      </c>
      <c r="AC64" s="110">
        <f t="shared" ca="1" si="8"/>
        <v>0</v>
      </c>
      <c r="AD64" s="110">
        <f t="shared" ca="1" si="8"/>
        <v>0</v>
      </c>
      <c r="AE64" s="110">
        <f t="shared" ca="1" si="8"/>
        <v>0</v>
      </c>
      <c r="AF64" s="110">
        <f t="shared" ca="1" si="8"/>
        <v>0</v>
      </c>
      <c r="AG64" s="110">
        <f t="shared" ca="1" si="8"/>
        <v>0</v>
      </c>
      <c r="AH64" s="110">
        <f t="shared" ca="1" si="8"/>
        <v>0</v>
      </c>
      <c r="AI64" s="110">
        <f t="shared" ca="1" si="8"/>
        <v>0</v>
      </c>
      <c r="AJ64" s="110">
        <f t="shared" ca="1" si="8"/>
        <v>0</v>
      </c>
      <c r="AK64" s="110">
        <f t="shared" ca="1" si="9"/>
        <v>0</v>
      </c>
      <c r="AL64" s="110">
        <f t="shared" ca="1" si="5"/>
        <v>0</v>
      </c>
      <c r="AM64" s="110">
        <f t="shared" ca="1" si="5"/>
        <v>0</v>
      </c>
      <c r="AN64" s="110">
        <f t="shared" ca="1" si="5"/>
        <v>0</v>
      </c>
      <c r="AO64" s="110">
        <f t="shared" ca="1" si="5"/>
        <v>0</v>
      </c>
    </row>
    <row r="65" spans="2:41">
      <c r="D65" s="106">
        <f t="shared" ca="1" si="7"/>
        <v>45224</v>
      </c>
      <c r="E65" s="110">
        <f t="shared" ca="1" si="10"/>
        <v>0</v>
      </c>
      <c r="F65" s="110">
        <f t="shared" ca="1" si="10"/>
        <v>0</v>
      </c>
      <c r="G65" s="110">
        <f t="shared" ca="1" si="10"/>
        <v>0</v>
      </c>
      <c r="H65" s="110">
        <f t="shared" ca="1" si="10"/>
        <v>0</v>
      </c>
      <c r="I65" s="110">
        <f t="shared" ca="1" si="10"/>
        <v>0</v>
      </c>
      <c r="J65" s="110">
        <f t="shared" ca="1" si="10"/>
        <v>0</v>
      </c>
      <c r="K65" s="110">
        <f t="shared" ca="1" si="10"/>
        <v>0</v>
      </c>
      <c r="L65" s="110">
        <f t="shared" ca="1" si="10"/>
        <v>0</v>
      </c>
      <c r="M65" s="110">
        <f t="shared" ca="1" si="10"/>
        <v>0</v>
      </c>
      <c r="N65" s="110">
        <f t="shared" ca="1" si="10"/>
        <v>0</v>
      </c>
      <c r="O65" s="110">
        <f t="shared" ca="1" si="10"/>
        <v>0</v>
      </c>
      <c r="P65" s="110">
        <f t="shared" ca="1" si="10"/>
        <v>0</v>
      </c>
      <c r="Q65" s="110">
        <f t="shared" ca="1" si="10"/>
        <v>0</v>
      </c>
      <c r="R65" s="110">
        <f t="shared" ca="1" si="10"/>
        <v>0</v>
      </c>
      <c r="S65" s="110">
        <f t="shared" ca="1" si="10"/>
        <v>0</v>
      </c>
      <c r="T65" s="110">
        <f t="shared" ca="1" si="10"/>
        <v>0</v>
      </c>
      <c r="U65" s="110">
        <f t="shared" ca="1" si="8"/>
        <v>0</v>
      </c>
      <c r="V65" s="110">
        <f t="shared" ca="1" si="8"/>
        <v>0</v>
      </c>
      <c r="W65" s="110">
        <f t="shared" ca="1" si="8"/>
        <v>0</v>
      </c>
      <c r="X65" s="110">
        <f t="shared" ca="1" si="8"/>
        <v>0</v>
      </c>
      <c r="Y65" s="110">
        <f t="shared" ca="1" si="8"/>
        <v>0</v>
      </c>
      <c r="Z65" s="110">
        <f t="shared" ca="1" si="8"/>
        <v>0</v>
      </c>
      <c r="AA65" s="110">
        <f t="shared" ca="1" si="8"/>
        <v>0</v>
      </c>
      <c r="AB65" s="110">
        <f t="shared" ca="1" si="8"/>
        <v>0</v>
      </c>
      <c r="AC65" s="110">
        <f t="shared" ca="1" si="8"/>
        <v>0</v>
      </c>
      <c r="AD65" s="110">
        <f t="shared" ca="1" si="8"/>
        <v>0</v>
      </c>
      <c r="AE65" s="110">
        <f t="shared" ca="1" si="8"/>
        <v>0</v>
      </c>
      <c r="AF65" s="110">
        <f t="shared" ca="1" si="8"/>
        <v>0</v>
      </c>
      <c r="AG65" s="110">
        <f t="shared" ca="1" si="8"/>
        <v>0</v>
      </c>
      <c r="AH65" s="110">
        <f t="shared" ca="1" si="8"/>
        <v>0</v>
      </c>
      <c r="AI65" s="110">
        <f t="shared" ca="1" si="8"/>
        <v>0</v>
      </c>
      <c r="AJ65" s="110">
        <f t="shared" ca="1" si="8"/>
        <v>0</v>
      </c>
      <c r="AK65" s="110">
        <f t="shared" ca="1" si="9"/>
        <v>0</v>
      </c>
      <c r="AL65" s="110">
        <f t="shared" ca="1" si="5"/>
        <v>0</v>
      </c>
      <c r="AM65" s="110">
        <f t="shared" ca="1" si="5"/>
        <v>0</v>
      </c>
      <c r="AN65" s="110">
        <f t="shared" ca="1" si="5"/>
        <v>0</v>
      </c>
      <c r="AO65" s="110">
        <f t="shared" ca="1" si="5"/>
        <v>0</v>
      </c>
    </row>
    <row r="66" spans="2:41">
      <c r="D66" s="106">
        <f t="shared" ca="1" si="7"/>
        <v>45225</v>
      </c>
      <c r="E66" s="110">
        <f t="shared" ca="1" si="10"/>
        <v>0</v>
      </c>
      <c r="F66" s="110">
        <f t="shared" ca="1" si="10"/>
        <v>0</v>
      </c>
      <c r="G66" s="110">
        <f t="shared" ca="1" si="10"/>
        <v>0</v>
      </c>
      <c r="H66" s="110">
        <f t="shared" ca="1" si="10"/>
        <v>0</v>
      </c>
      <c r="I66" s="110">
        <f t="shared" ca="1" si="10"/>
        <v>0</v>
      </c>
      <c r="J66" s="110">
        <f t="shared" ca="1" si="10"/>
        <v>0</v>
      </c>
      <c r="K66" s="110">
        <f t="shared" ca="1" si="10"/>
        <v>0</v>
      </c>
      <c r="L66" s="110">
        <f t="shared" ca="1" si="10"/>
        <v>0</v>
      </c>
      <c r="M66" s="110">
        <f t="shared" ca="1" si="10"/>
        <v>0</v>
      </c>
      <c r="N66" s="110">
        <f t="shared" ca="1" si="10"/>
        <v>0</v>
      </c>
      <c r="O66" s="110">
        <f t="shared" ca="1" si="10"/>
        <v>0</v>
      </c>
      <c r="P66" s="110">
        <f t="shared" ca="1" si="10"/>
        <v>0</v>
      </c>
      <c r="Q66" s="110">
        <f t="shared" ca="1" si="10"/>
        <v>0</v>
      </c>
      <c r="R66" s="110">
        <f t="shared" ca="1" si="10"/>
        <v>0</v>
      </c>
      <c r="S66" s="110">
        <f t="shared" ca="1" si="10"/>
        <v>0</v>
      </c>
      <c r="T66" s="110">
        <f t="shared" ca="1" si="10"/>
        <v>0</v>
      </c>
      <c r="U66" s="110">
        <f t="shared" ca="1" si="8"/>
        <v>0</v>
      </c>
      <c r="V66" s="110">
        <f t="shared" ca="1" si="8"/>
        <v>0</v>
      </c>
      <c r="W66" s="110">
        <f t="shared" ca="1" si="8"/>
        <v>0</v>
      </c>
      <c r="X66" s="110">
        <f t="shared" ca="1" si="8"/>
        <v>0</v>
      </c>
      <c r="Y66" s="110">
        <f t="shared" ca="1" si="8"/>
        <v>0</v>
      </c>
      <c r="Z66" s="110">
        <f t="shared" ca="1" si="8"/>
        <v>0</v>
      </c>
      <c r="AA66" s="110">
        <f t="shared" ca="1" si="8"/>
        <v>0</v>
      </c>
      <c r="AB66" s="110">
        <f t="shared" ca="1" si="8"/>
        <v>0</v>
      </c>
      <c r="AC66" s="110">
        <f t="shared" ca="1" si="8"/>
        <v>0</v>
      </c>
      <c r="AD66" s="110">
        <f t="shared" ca="1" si="8"/>
        <v>0</v>
      </c>
      <c r="AE66" s="110">
        <f t="shared" ca="1" si="8"/>
        <v>0</v>
      </c>
      <c r="AF66" s="110">
        <f t="shared" ca="1" si="8"/>
        <v>0</v>
      </c>
      <c r="AG66" s="110">
        <f t="shared" ca="1" si="8"/>
        <v>0</v>
      </c>
      <c r="AH66" s="110">
        <f t="shared" ca="1" si="8"/>
        <v>0</v>
      </c>
      <c r="AI66" s="110">
        <f t="shared" ca="1" si="8"/>
        <v>0</v>
      </c>
      <c r="AJ66" s="110">
        <f t="shared" ca="1" si="8"/>
        <v>0</v>
      </c>
      <c r="AK66" s="110">
        <f t="shared" ca="1" si="9"/>
        <v>0</v>
      </c>
      <c r="AL66" s="110">
        <f t="shared" ca="1" si="5"/>
        <v>0</v>
      </c>
      <c r="AM66" s="110">
        <f t="shared" ca="1" si="5"/>
        <v>0</v>
      </c>
      <c r="AN66" s="110">
        <f t="shared" ca="1" si="5"/>
        <v>0</v>
      </c>
      <c r="AO66" s="110">
        <f t="shared" ca="1" si="5"/>
        <v>0</v>
      </c>
    </row>
    <row r="67" spans="2:41">
      <c r="D67" s="106">
        <f t="shared" ca="1" si="7"/>
        <v>45226</v>
      </c>
      <c r="E67" s="110">
        <f t="shared" ca="1" si="10"/>
        <v>0</v>
      </c>
      <c r="F67" s="110">
        <f t="shared" ca="1" si="10"/>
        <v>0</v>
      </c>
      <c r="G67" s="110">
        <f t="shared" ca="1" si="10"/>
        <v>0</v>
      </c>
      <c r="H67" s="110">
        <f t="shared" ca="1" si="10"/>
        <v>0</v>
      </c>
      <c r="I67" s="110">
        <f t="shared" ca="1" si="10"/>
        <v>0</v>
      </c>
      <c r="J67" s="110">
        <f t="shared" ca="1" si="10"/>
        <v>0</v>
      </c>
      <c r="K67" s="110">
        <f t="shared" ca="1" si="10"/>
        <v>0</v>
      </c>
      <c r="L67" s="110">
        <f t="shared" ca="1" si="10"/>
        <v>0</v>
      </c>
      <c r="M67" s="110">
        <f t="shared" ca="1" si="10"/>
        <v>0</v>
      </c>
      <c r="N67" s="110">
        <f t="shared" ca="1" si="10"/>
        <v>0</v>
      </c>
      <c r="O67" s="110">
        <f t="shared" ca="1" si="10"/>
        <v>0</v>
      </c>
      <c r="P67" s="110">
        <f t="shared" ca="1" si="10"/>
        <v>0</v>
      </c>
      <c r="Q67" s="110">
        <f t="shared" ca="1" si="10"/>
        <v>0</v>
      </c>
      <c r="R67" s="110">
        <f t="shared" ca="1" si="10"/>
        <v>0</v>
      </c>
      <c r="S67" s="110">
        <f t="shared" ca="1" si="10"/>
        <v>0</v>
      </c>
      <c r="T67" s="110">
        <f t="shared" ca="1" si="10"/>
        <v>0</v>
      </c>
      <c r="U67" s="110">
        <f t="shared" ca="1" si="8"/>
        <v>0</v>
      </c>
      <c r="V67" s="110">
        <f t="shared" ca="1" si="8"/>
        <v>0</v>
      </c>
      <c r="W67" s="110">
        <f t="shared" ca="1" si="8"/>
        <v>0</v>
      </c>
      <c r="X67" s="110">
        <f t="shared" ca="1" si="8"/>
        <v>0</v>
      </c>
      <c r="Y67" s="110">
        <f t="shared" ca="1" si="8"/>
        <v>0</v>
      </c>
      <c r="Z67" s="110">
        <f t="shared" ca="1" si="8"/>
        <v>0</v>
      </c>
      <c r="AA67" s="110">
        <f t="shared" ca="1" si="8"/>
        <v>0</v>
      </c>
      <c r="AB67" s="110">
        <f t="shared" ca="1" si="8"/>
        <v>0</v>
      </c>
      <c r="AC67" s="110">
        <f t="shared" ca="1" si="8"/>
        <v>0</v>
      </c>
      <c r="AD67" s="110">
        <f t="shared" ca="1" si="8"/>
        <v>0</v>
      </c>
      <c r="AE67" s="110">
        <f t="shared" ca="1" si="8"/>
        <v>0</v>
      </c>
      <c r="AF67" s="110">
        <f t="shared" ca="1" si="8"/>
        <v>0</v>
      </c>
      <c r="AG67" s="110">
        <f t="shared" ca="1" si="8"/>
        <v>0</v>
      </c>
      <c r="AH67" s="110">
        <f t="shared" ca="1" si="8"/>
        <v>0</v>
      </c>
      <c r="AI67" s="110">
        <f t="shared" ca="1" si="8"/>
        <v>0</v>
      </c>
      <c r="AJ67" s="110">
        <f t="shared" ca="1" si="8"/>
        <v>0</v>
      </c>
      <c r="AK67" s="110">
        <f t="shared" ca="1" si="9"/>
        <v>0</v>
      </c>
      <c r="AL67" s="110">
        <f t="shared" ca="1" si="5"/>
        <v>0</v>
      </c>
      <c r="AM67" s="110">
        <f t="shared" ca="1" si="5"/>
        <v>0</v>
      </c>
      <c r="AN67" s="110">
        <f t="shared" ca="1" si="5"/>
        <v>0</v>
      </c>
      <c r="AO67" s="110">
        <f t="shared" ca="1" si="5"/>
        <v>0</v>
      </c>
    </row>
    <row r="68" spans="2:41">
      <c r="D68" s="106">
        <f t="shared" ca="1" si="7"/>
        <v>45229</v>
      </c>
      <c r="E68" s="110">
        <f t="shared" ca="1" si="10"/>
        <v>0</v>
      </c>
      <c r="F68" s="110">
        <f t="shared" ca="1" si="10"/>
        <v>0</v>
      </c>
      <c r="G68" s="110">
        <f t="shared" ca="1" si="10"/>
        <v>0</v>
      </c>
      <c r="H68" s="110">
        <f t="shared" ca="1" si="10"/>
        <v>0</v>
      </c>
      <c r="I68" s="110">
        <f t="shared" ca="1" si="10"/>
        <v>0</v>
      </c>
      <c r="J68" s="110">
        <f t="shared" ca="1" si="10"/>
        <v>0</v>
      </c>
      <c r="K68" s="110">
        <f t="shared" ca="1" si="10"/>
        <v>0</v>
      </c>
      <c r="L68" s="110">
        <f t="shared" ca="1" si="10"/>
        <v>0</v>
      </c>
      <c r="M68" s="110">
        <f t="shared" ca="1" si="10"/>
        <v>0</v>
      </c>
      <c r="N68" s="110">
        <f t="shared" ca="1" si="10"/>
        <v>0</v>
      </c>
      <c r="O68" s="110">
        <f t="shared" ca="1" si="10"/>
        <v>0</v>
      </c>
      <c r="P68" s="110">
        <f t="shared" ca="1" si="10"/>
        <v>0</v>
      </c>
      <c r="Q68" s="110">
        <f t="shared" ca="1" si="10"/>
        <v>0</v>
      </c>
      <c r="R68" s="110">
        <f t="shared" ca="1" si="10"/>
        <v>0</v>
      </c>
      <c r="S68" s="110">
        <f t="shared" ca="1" si="10"/>
        <v>0</v>
      </c>
      <c r="T68" s="110">
        <f t="shared" ca="1" si="10"/>
        <v>0</v>
      </c>
      <c r="U68" s="110">
        <f t="shared" ref="U68:AK68" ca="1" si="11">IFERROR((OptionPrice(LEFT($C$42),U$35,$C$37,($C$38-$D68+1)/365,$C$39,$C$41,$C$40)-$C$43)*$C$44,0)</f>
        <v>0</v>
      </c>
      <c r="V68" s="110">
        <f t="shared" ca="1" si="11"/>
        <v>0</v>
      </c>
      <c r="W68" s="110">
        <f t="shared" ca="1" si="11"/>
        <v>0</v>
      </c>
      <c r="X68" s="110">
        <f t="shared" ca="1" si="11"/>
        <v>0</v>
      </c>
      <c r="Y68" s="110">
        <f t="shared" ca="1" si="11"/>
        <v>0</v>
      </c>
      <c r="Z68" s="110">
        <f t="shared" ca="1" si="11"/>
        <v>0</v>
      </c>
      <c r="AA68" s="110">
        <f t="shared" ca="1" si="11"/>
        <v>0</v>
      </c>
      <c r="AB68" s="110">
        <f t="shared" ca="1" si="11"/>
        <v>0</v>
      </c>
      <c r="AC68" s="110">
        <f t="shared" ca="1" si="11"/>
        <v>0</v>
      </c>
      <c r="AD68" s="110">
        <f t="shared" ca="1" si="11"/>
        <v>0</v>
      </c>
      <c r="AE68" s="110">
        <f t="shared" ca="1" si="11"/>
        <v>0</v>
      </c>
      <c r="AF68" s="110">
        <f t="shared" ca="1" si="11"/>
        <v>0</v>
      </c>
      <c r="AG68" s="110">
        <f t="shared" ca="1" si="11"/>
        <v>0</v>
      </c>
      <c r="AH68" s="110">
        <f t="shared" ca="1" si="11"/>
        <v>0</v>
      </c>
      <c r="AI68" s="110">
        <f t="shared" ca="1" si="11"/>
        <v>0</v>
      </c>
      <c r="AJ68" s="110">
        <f t="shared" ca="1" si="11"/>
        <v>0</v>
      </c>
      <c r="AK68" s="110">
        <f t="shared" ca="1" si="11"/>
        <v>0</v>
      </c>
      <c r="AL68" s="110">
        <f t="shared" ca="1" si="5"/>
        <v>0</v>
      </c>
      <c r="AM68" s="110">
        <f t="shared" ca="1" si="5"/>
        <v>0</v>
      </c>
      <c r="AN68" s="110">
        <f t="shared" ca="1" si="5"/>
        <v>0</v>
      </c>
      <c r="AO68" s="110">
        <f t="shared" ca="1" si="5"/>
        <v>0</v>
      </c>
    </row>
    <row r="69" spans="2:41">
      <c r="E69" s="111"/>
      <c r="F69" s="111"/>
      <c r="G69" s="111"/>
      <c r="H69" s="111"/>
      <c r="I69" s="111"/>
      <c r="J69" s="111"/>
      <c r="K69" s="111"/>
      <c r="L69" s="111"/>
      <c r="M69" s="111"/>
      <c r="N69" s="111"/>
      <c r="O69" s="111"/>
      <c r="P69" s="111"/>
      <c r="Q69" s="111"/>
      <c r="R69" s="111"/>
      <c r="S69" s="111"/>
      <c r="T69" s="111"/>
      <c r="U69" s="111"/>
      <c r="V69" s="111"/>
      <c r="W69" s="111"/>
      <c r="X69" s="111"/>
      <c r="Y69" s="111"/>
      <c r="Z69" s="111"/>
      <c r="AA69" s="111"/>
      <c r="AB69" s="111"/>
      <c r="AC69" s="111"/>
      <c r="AD69" s="111"/>
      <c r="AE69" s="111"/>
      <c r="AF69" s="111"/>
      <c r="AG69" s="111"/>
      <c r="AH69" s="111"/>
      <c r="AI69" s="111"/>
      <c r="AJ69" s="111"/>
      <c r="AK69" s="111"/>
      <c r="AL69" s="111"/>
      <c r="AM69" s="111"/>
      <c r="AN69" s="111"/>
      <c r="AO69" s="111"/>
    </row>
    <row r="70" spans="2:41">
      <c r="E70" s="111"/>
      <c r="F70" s="111"/>
      <c r="G70" s="111"/>
      <c r="H70" s="111"/>
      <c r="I70" s="111"/>
      <c r="J70" s="111"/>
      <c r="K70" s="111"/>
      <c r="L70" s="111"/>
      <c r="M70" s="111"/>
      <c r="N70" s="111"/>
      <c r="O70" s="111"/>
      <c r="P70" s="111"/>
      <c r="Q70" s="111"/>
      <c r="R70" s="111"/>
      <c r="S70" s="111"/>
      <c r="T70" s="111"/>
      <c r="U70" s="111"/>
      <c r="V70" s="111"/>
      <c r="W70" s="111"/>
      <c r="X70" s="111"/>
      <c r="Y70" s="111"/>
      <c r="Z70" s="111"/>
      <c r="AA70" s="111"/>
      <c r="AB70" s="111"/>
      <c r="AC70" s="111"/>
      <c r="AD70" s="111"/>
      <c r="AE70" s="111"/>
      <c r="AF70" s="111"/>
      <c r="AG70" s="111"/>
      <c r="AH70" s="111"/>
      <c r="AI70" s="111"/>
      <c r="AJ70" s="111"/>
      <c r="AK70" s="111"/>
      <c r="AL70" s="111"/>
      <c r="AM70" s="111"/>
      <c r="AN70" s="111"/>
      <c r="AO70" s="111"/>
    </row>
    <row r="71" spans="2:41">
      <c r="E71" s="111"/>
      <c r="F71" s="111"/>
      <c r="G71" s="111"/>
      <c r="H71" s="111"/>
      <c r="I71" s="111"/>
      <c r="J71" s="111"/>
      <c r="K71" s="111"/>
      <c r="L71" s="111"/>
      <c r="M71" s="111"/>
      <c r="N71" s="111"/>
      <c r="O71" s="111"/>
      <c r="P71" s="111"/>
      <c r="Q71" s="111"/>
      <c r="R71" s="111"/>
      <c r="S71" s="111"/>
      <c r="T71" s="111"/>
      <c r="U71" s="111"/>
      <c r="V71" s="111"/>
      <c r="W71" s="111"/>
      <c r="X71" s="111"/>
      <c r="Y71" s="111"/>
      <c r="Z71" s="111"/>
      <c r="AA71" s="111"/>
      <c r="AB71" s="111"/>
      <c r="AC71" s="111"/>
      <c r="AD71" s="111"/>
      <c r="AE71" s="111"/>
      <c r="AF71" s="111"/>
      <c r="AG71" s="111"/>
      <c r="AH71" s="111"/>
      <c r="AI71" s="111"/>
      <c r="AJ71" s="111"/>
      <c r="AK71" s="111"/>
      <c r="AL71" s="111"/>
      <c r="AM71" s="111"/>
      <c r="AN71" s="111"/>
      <c r="AO71" s="111"/>
    </row>
    <row r="72" spans="2:41">
      <c r="B72" s="22" t="s">
        <v>548</v>
      </c>
      <c r="C72" s="22" t="str">
        <f>C35</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72" s="13" t="s">
        <v>79</v>
      </c>
      <c r="E72" s="104" t="e">
        <f>E35</f>
        <v>#VALUE!</v>
      </c>
      <c r="F72" s="105" t="e">
        <f t="shared" ref="F72:AO72" si="12">F35</f>
        <v>#VALUE!</v>
      </c>
      <c r="G72" s="105" t="e">
        <f t="shared" si="12"/>
        <v>#VALUE!</v>
      </c>
      <c r="H72" s="105" t="e">
        <f t="shared" si="12"/>
        <v>#VALUE!</v>
      </c>
      <c r="I72" s="105" t="e">
        <f t="shared" si="12"/>
        <v>#VALUE!</v>
      </c>
      <c r="J72" s="105" t="e">
        <f t="shared" si="12"/>
        <v>#VALUE!</v>
      </c>
      <c r="K72" s="105" t="e">
        <f t="shared" si="12"/>
        <v>#VALUE!</v>
      </c>
      <c r="L72" s="105" t="e">
        <f t="shared" si="12"/>
        <v>#VALUE!</v>
      </c>
      <c r="M72" s="105" t="e">
        <f t="shared" si="12"/>
        <v>#VALUE!</v>
      </c>
      <c r="N72" s="105" t="e">
        <f t="shared" si="12"/>
        <v>#VALUE!</v>
      </c>
      <c r="O72" s="105" t="e">
        <f t="shared" si="12"/>
        <v>#VALUE!</v>
      </c>
      <c r="P72" s="105" t="e">
        <f t="shared" si="12"/>
        <v>#VALUE!</v>
      </c>
      <c r="Q72" s="105" t="e">
        <f t="shared" si="12"/>
        <v>#VALUE!</v>
      </c>
      <c r="R72" s="105" t="e">
        <f t="shared" si="12"/>
        <v>#VALUE!</v>
      </c>
      <c r="S72" s="105" t="e">
        <f t="shared" si="12"/>
        <v>#VALUE!</v>
      </c>
      <c r="T72" s="105" t="e">
        <f t="shared" si="12"/>
        <v>#VALUE!</v>
      </c>
      <c r="U72" s="105" t="e">
        <f t="shared" si="12"/>
        <v>#VALUE!</v>
      </c>
      <c r="V72" s="105" t="e">
        <f t="shared" si="12"/>
        <v>#VALUE!</v>
      </c>
      <c r="W72" s="105" t="e">
        <f t="shared" si="12"/>
        <v>#VALUE!</v>
      </c>
      <c r="X72" s="105" t="e">
        <f t="shared" si="12"/>
        <v>#VALUE!</v>
      </c>
      <c r="Y72" s="105" t="e">
        <f t="shared" si="12"/>
        <v>#VALUE!</v>
      </c>
      <c r="Z72" s="105" t="e">
        <f t="shared" si="12"/>
        <v>#VALUE!</v>
      </c>
      <c r="AA72" s="105" t="e">
        <f t="shared" si="12"/>
        <v>#VALUE!</v>
      </c>
      <c r="AB72" s="105" t="e">
        <f t="shared" si="12"/>
        <v>#VALUE!</v>
      </c>
      <c r="AC72" s="105" t="e">
        <f t="shared" si="12"/>
        <v>#VALUE!</v>
      </c>
      <c r="AD72" s="105" t="e">
        <f t="shared" si="12"/>
        <v>#VALUE!</v>
      </c>
      <c r="AE72" s="105" t="e">
        <f t="shared" si="12"/>
        <v>#VALUE!</v>
      </c>
      <c r="AF72" s="105" t="e">
        <f t="shared" si="12"/>
        <v>#VALUE!</v>
      </c>
      <c r="AG72" s="105" t="e">
        <f t="shared" si="12"/>
        <v>#VALUE!</v>
      </c>
      <c r="AH72" s="105" t="e">
        <f t="shared" si="12"/>
        <v>#VALUE!</v>
      </c>
      <c r="AI72" s="105" t="e">
        <f t="shared" si="12"/>
        <v>#VALUE!</v>
      </c>
      <c r="AJ72" s="105" t="e">
        <f t="shared" si="12"/>
        <v>#VALUE!</v>
      </c>
      <c r="AK72" s="105" t="e">
        <f t="shared" si="12"/>
        <v>#VALUE!</v>
      </c>
      <c r="AL72" s="105" t="e">
        <f t="shared" si="12"/>
        <v>#VALUE!</v>
      </c>
      <c r="AM72" s="105" t="e">
        <f t="shared" si="12"/>
        <v>#VALUE!</v>
      </c>
      <c r="AN72" s="105" t="e">
        <f t="shared" si="12"/>
        <v>#VALUE!</v>
      </c>
      <c r="AO72" s="105" t="e">
        <f t="shared" si="12"/>
        <v>#VALUE!</v>
      </c>
    </row>
    <row r="73" spans="2:41">
      <c r="B73" s="22" t="s">
        <v>543</v>
      </c>
      <c r="C73" s="22">
        <v>1</v>
      </c>
      <c r="D73" s="48" t="s">
        <v>19</v>
      </c>
      <c r="E73" s="122" t="e">
        <f>E36</f>
        <v>#VALUE!</v>
      </c>
      <c r="F73" s="122" t="e">
        <f t="shared" ref="F73:AO73" si="13">F36</f>
        <v>#VALUE!</v>
      </c>
      <c r="G73" s="122" t="e">
        <f t="shared" si="13"/>
        <v>#VALUE!</v>
      </c>
      <c r="H73" s="122" t="e">
        <f t="shared" si="13"/>
        <v>#VALUE!</v>
      </c>
      <c r="I73" s="122" t="e">
        <f t="shared" si="13"/>
        <v>#VALUE!</v>
      </c>
      <c r="J73" s="122" t="e">
        <f t="shared" si="13"/>
        <v>#VALUE!</v>
      </c>
      <c r="K73" s="122" t="e">
        <f t="shared" si="13"/>
        <v>#VALUE!</v>
      </c>
      <c r="L73" s="122" t="e">
        <f t="shared" si="13"/>
        <v>#VALUE!</v>
      </c>
      <c r="M73" s="122" t="e">
        <f t="shared" si="13"/>
        <v>#VALUE!</v>
      </c>
      <c r="N73" s="122" t="e">
        <f t="shared" si="13"/>
        <v>#VALUE!</v>
      </c>
      <c r="O73" s="122" t="e">
        <f t="shared" si="13"/>
        <v>#VALUE!</v>
      </c>
      <c r="P73" s="122" t="e">
        <f t="shared" si="13"/>
        <v>#VALUE!</v>
      </c>
      <c r="Q73" s="122" t="e">
        <f t="shared" si="13"/>
        <v>#VALUE!</v>
      </c>
      <c r="R73" s="122" t="e">
        <f t="shared" si="13"/>
        <v>#VALUE!</v>
      </c>
      <c r="S73" s="122" t="e">
        <f t="shared" si="13"/>
        <v>#VALUE!</v>
      </c>
      <c r="T73" s="122" t="e">
        <f t="shared" si="13"/>
        <v>#VALUE!</v>
      </c>
      <c r="U73" s="122" t="e">
        <f t="shared" si="13"/>
        <v>#VALUE!</v>
      </c>
      <c r="V73" s="122" t="e">
        <f t="shared" si="13"/>
        <v>#VALUE!</v>
      </c>
      <c r="W73" s="122" t="e">
        <f t="shared" si="13"/>
        <v>#VALUE!</v>
      </c>
      <c r="X73" s="122" t="e">
        <f t="shared" si="13"/>
        <v>#VALUE!</v>
      </c>
      <c r="Y73" s="122" t="e">
        <f t="shared" si="13"/>
        <v>#VALUE!</v>
      </c>
      <c r="Z73" s="122" t="e">
        <f t="shared" si="13"/>
        <v>#VALUE!</v>
      </c>
      <c r="AA73" s="122" t="e">
        <f t="shared" si="13"/>
        <v>#VALUE!</v>
      </c>
      <c r="AB73" s="122" t="e">
        <f t="shared" si="13"/>
        <v>#VALUE!</v>
      </c>
      <c r="AC73" s="122" t="e">
        <f t="shared" si="13"/>
        <v>#VALUE!</v>
      </c>
      <c r="AD73" s="122" t="e">
        <f t="shared" si="13"/>
        <v>#VALUE!</v>
      </c>
      <c r="AE73" s="122" t="e">
        <f t="shared" si="13"/>
        <v>#VALUE!</v>
      </c>
      <c r="AF73" s="122" t="e">
        <f t="shared" si="13"/>
        <v>#VALUE!</v>
      </c>
      <c r="AG73" s="122" t="e">
        <f t="shared" si="13"/>
        <v>#VALUE!</v>
      </c>
      <c r="AH73" s="122" t="e">
        <f t="shared" si="13"/>
        <v>#VALUE!</v>
      </c>
      <c r="AI73" s="122" t="e">
        <f t="shared" si="13"/>
        <v>#VALUE!</v>
      </c>
      <c r="AJ73" s="122" t="e">
        <f t="shared" si="13"/>
        <v>#VALUE!</v>
      </c>
      <c r="AK73" s="122" t="e">
        <f t="shared" si="13"/>
        <v>#VALUE!</v>
      </c>
      <c r="AL73" s="122" t="e">
        <f t="shared" si="13"/>
        <v>#VALUE!</v>
      </c>
      <c r="AM73" s="122" t="e">
        <f t="shared" si="13"/>
        <v>#VALUE!</v>
      </c>
      <c r="AN73" s="122" t="e">
        <f t="shared" si="13"/>
        <v>#VALUE!</v>
      </c>
      <c r="AO73" s="122" t="e">
        <f t="shared" si="13"/>
        <v>#VALUE!</v>
      </c>
    </row>
    <row r="74" spans="2:41">
      <c r="B74" s="22" t="s">
        <v>22</v>
      </c>
      <c r="C74" s="22">
        <v>18000</v>
      </c>
      <c r="D74" s="106">
        <f ca="1">TODAY()</f>
        <v>45184</v>
      </c>
      <c r="E74" s="110">
        <f ca="1">IFERROR((OptionPrice(LEFT($C$79),E$72,$C$74,($C$75-$D74+1)/365,$C$76,$C$78,$C$77)-$C$80)*$C$81,0)</f>
        <v>0</v>
      </c>
      <c r="F74" s="110">
        <f t="shared" ref="F74:U89" ca="1" si="14">IFERROR((OptionPrice(LEFT($C$79),F$72,$C$74,($C$75-$D74+1)/365,$C$76,$C$78,$C$77)-$C$80)*$C$81,0)</f>
        <v>0</v>
      </c>
      <c r="G74" s="110">
        <f t="shared" ca="1" si="14"/>
        <v>0</v>
      </c>
      <c r="H74" s="110">
        <f t="shared" ca="1" si="14"/>
        <v>0</v>
      </c>
      <c r="I74" s="110">
        <f t="shared" ca="1" si="14"/>
        <v>0</v>
      </c>
      <c r="J74" s="110">
        <f t="shared" ca="1" si="14"/>
        <v>0</v>
      </c>
      <c r="K74" s="110">
        <f t="shared" ca="1" si="14"/>
        <v>0</v>
      </c>
      <c r="L74" s="110">
        <f t="shared" ca="1" si="14"/>
        <v>0</v>
      </c>
      <c r="M74" s="110">
        <f t="shared" ca="1" si="14"/>
        <v>0</v>
      </c>
      <c r="N74" s="110">
        <f t="shared" ca="1" si="14"/>
        <v>0</v>
      </c>
      <c r="O74" s="110">
        <f t="shared" ca="1" si="14"/>
        <v>0</v>
      </c>
      <c r="P74" s="110">
        <f t="shared" ca="1" si="14"/>
        <v>0</v>
      </c>
      <c r="Q74" s="110">
        <f t="shared" ca="1" si="14"/>
        <v>0</v>
      </c>
      <c r="R74" s="110">
        <f t="shared" ca="1" si="14"/>
        <v>0</v>
      </c>
      <c r="S74" s="110">
        <f t="shared" ca="1" si="14"/>
        <v>0</v>
      </c>
      <c r="T74" s="110">
        <f t="shared" ca="1" si="14"/>
        <v>0</v>
      </c>
      <c r="U74" s="110">
        <f t="shared" ca="1" si="14"/>
        <v>0</v>
      </c>
      <c r="V74" s="110">
        <f t="shared" ref="V74:AK89" ca="1" si="15">IFERROR((OptionPrice(LEFT($C$79),V$72,$C$74,($C$75-$D74+1)/365,$C$76,$C$78,$C$77)-$C$80)*$C$81,0)</f>
        <v>0</v>
      </c>
      <c r="W74" s="110">
        <f t="shared" ca="1" si="15"/>
        <v>0</v>
      </c>
      <c r="X74" s="110">
        <f t="shared" ca="1" si="15"/>
        <v>0</v>
      </c>
      <c r="Y74" s="110">
        <f t="shared" ca="1" si="15"/>
        <v>0</v>
      </c>
      <c r="Z74" s="110">
        <f t="shared" ca="1" si="15"/>
        <v>0</v>
      </c>
      <c r="AA74" s="110">
        <f t="shared" ca="1" si="15"/>
        <v>0</v>
      </c>
      <c r="AB74" s="110">
        <f t="shared" ca="1" si="15"/>
        <v>0</v>
      </c>
      <c r="AC74" s="110">
        <f t="shared" ca="1" si="15"/>
        <v>0</v>
      </c>
      <c r="AD74" s="110">
        <f t="shared" ca="1" si="15"/>
        <v>0</v>
      </c>
      <c r="AE74" s="110">
        <f t="shared" ca="1" si="15"/>
        <v>0</v>
      </c>
      <c r="AF74" s="110">
        <f t="shared" ca="1" si="15"/>
        <v>0</v>
      </c>
      <c r="AG74" s="110">
        <f t="shared" ca="1" si="15"/>
        <v>0</v>
      </c>
      <c r="AH74" s="110">
        <f t="shared" ca="1" si="15"/>
        <v>0</v>
      </c>
      <c r="AI74" s="110">
        <f t="shared" ca="1" si="15"/>
        <v>0</v>
      </c>
      <c r="AJ74" s="110">
        <f t="shared" ca="1" si="15"/>
        <v>0</v>
      </c>
      <c r="AK74" s="110">
        <f t="shared" ca="1" si="15"/>
        <v>0</v>
      </c>
      <c r="AL74" s="110">
        <f t="shared" ref="AL74:AO105" ca="1" si="16">IFERROR((OptionPrice(LEFT($C$79),AL$72,$C$74,($C$75-$D74+1)/365,$C$76,$C$78,$C$77)-$C$80)*$C$81,0)</f>
        <v>0</v>
      </c>
      <c r="AM74" s="110">
        <f t="shared" ca="1" si="16"/>
        <v>0</v>
      </c>
      <c r="AN74" s="110">
        <f t="shared" ca="1" si="16"/>
        <v>0</v>
      </c>
      <c r="AO74" s="110">
        <f t="shared" ca="1" si="16"/>
        <v>0</v>
      </c>
    </row>
    <row r="75" spans="2:41">
      <c r="B75" s="22" t="s">
        <v>78</v>
      </c>
      <c r="C75" s="101">
        <v>44525</v>
      </c>
      <c r="D75" s="106">
        <f ca="1">WORKDAY(D74,1)</f>
        <v>45187</v>
      </c>
      <c r="E75" s="110">
        <f t="shared" ref="E75:T90" ca="1" si="17">IFERROR((OptionPrice(LEFT($C$79),E$72,$C$74,($C$75-$D75+1)/365,$C$76,$C$78,$C$77)-$C$80)*$C$81,0)</f>
        <v>0</v>
      </c>
      <c r="F75" s="110">
        <f t="shared" ca="1" si="14"/>
        <v>0</v>
      </c>
      <c r="G75" s="110">
        <f t="shared" ca="1" si="14"/>
        <v>0</v>
      </c>
      <c r="H75" s="110">
        <f t="shared" ca="1" si="14"/>
        <v>0</v>
      </c>
      <c r="I75" s="110">
        <f t="shared" ca="1" si="14"/>
        <v>0</v>
      </c>
      <c r="J75" s="110">
        <f t="shared" ca="1" si="14"/>
        <v>0</v>
      </c>
      <c r="K75" s="110">
        <f t="shared" ca="1" si="14"/>
        <v>0</v>
      </c>
      <c r="L75" s="110">
        <f t="shared" ca="1" si="14"/>
        <v>0</v>
      </c>
      <c r="M75" s="110">
        <f t="shared" ca="1" si="14"/>
        <v>0</v>
      </c>
      <c r="N75" s="110">
        <f t="shared" ca="1" si="14"/>
        <v>0</v>
      </c>
      <c r="O75" s="110">
        <f t="shared" ca="1" si="14"/>
        <v>0</v>
      </c>
      <c r="P75" s="110">
        <f t="shared" ca="1" si="14"/>
        <v>0</v>
      </c>
      <c r="Q75" s="110">
        <f t="shared" ca="1" si="14"/>
        <v>0</v>
      </c>
      <c r="R75" s="110">
        <f t="shared" ca="1" si="14"/>
        <v>0</v>
      </c>
      <c r="S75" s="110">
        <f t="shared" ca="1" si="14"/>
        <v>0</v>
      </c>
      <c r="T75" s="110">
        <f t="shared" ca="1" si="14"/>
        <v>0</v>
      </c>
      <c r="U75" s="110">
        <f t="shared" ca="1" si="14"/>
        <v>0</v>
      </c>
      <c r="V75" s="110">
        <f t="shared" ca="1" si="15"/>
        <v>0</v>
      </c>
      <c r="W75" s="110">
        <f t="shared" ca="1" si="15"/>
        <v>0</v>
      </c>
      <c r="X75" s="110">
        <f t="shared" ca="1" si="15"/>
        <v>0</v>
      </c>
      <c r="Y75" s="110">
        <f t="shared" ca="1" si="15"/>
        <v>0</v>
      </c>
      <c r="Z75" s="110">
        <f t="shared" ca="1" si="15"/>
        <v>0</v>
      </c>
      <c r="AA75" s="110">
        <f t="shared" ca="1" si="15"/>
        <v>0</v>
      </c>
      <c r="AB75" s="110">
        <f t="shared" ca="1" si="15"/>
        <v>0</v>
      </c>
      <c r="AC75" s="110">
        <f t="shared" ca="1" si="15"/>
        <v>0</v>
      </c>
      <c r="AD75" s="110">
        <f t="shared" ca="1" si="15"/>
        <v>0</v>
      </c>
      <c r="AE75" s="110">
        <f t="shared" ca="1" si="15"/>
        <v>0</v>
      </c>
      <c r="AF75" s="110">
        <f t="shared" ca="1" si="15"/>
        <v>0</v>
      </c>
      <c r="AG75" s="110">
        <f t="shared" ca="1" si="15"/>
        <v>0</v>
      </c>
      <c r="AH75" s="110">
        <f t="shared" ca="1" si="15"/>
        <v>0</v>
      </c>
      <c r="AI75" s="110">
        <f t="shared" ca="1" si="15"/>
        <v>0</v>
      </c>
      <c r="AJ75" s="110">
        <f t="shared" ca="1" si="15"/>
        <v>0</v>
      </c>
      <c r="AK75" s="110">
        <f t="shared" ca="1" si="15"/>
        <v>0</v>
      </c>
      <c r="AL75" s="110">
        <f t="shared" ca="1" si="16"/>
        <v>0</v>
      </c>
      <c r="AM75" s="110">
        <f t="shared" ca="1" si="16"/>
        <v>0</v>
      </c>
      <c r="AN75" s="110">
        <f t="shared" ca="1" si="16"/>
        <v>0</v>
      </c>
      <c r="AO75" s="110">
        <f t="shared" ca="1" si="16"/>
        <v>0</v>
      </c>
    </row>
    <row r="76" spans="2:41">
      <c r="B76" s="22" t="s">
        <v>504</v>
      </c>
      <c r="C76" s="102">
        <v>0.05</v>
      </c>
      <c r="D76" s="106">
        <f t="shared" ref="D76:D105" ca="1" si="18">WORKDAY(D75,1)</f>
        <v>45188</v>
      </c>
      <c r="E76" s="110">
        <f t="shared" ca="1" si="17"/>
        <v>0</v>
      </c>
      <c r="F76" s="110">
        <f t="shared" ca="1" si="14"/>
        <v>0</v>
      </c>
      <c r="G76" s="110">
        <f t="shared" ca="1" si="14"/>
        <v>0</v>
      </c>
      <c r="H76" s="110">
        <f t="shared" ca="1" si="14"/>
        <v>0</v>
      </c>
      <c r="I76" s="110">
        <f t="shared" ca="1" si="14"/>
        <v>0</v>
      </c>
      <c r="J76" s="110">
        <f t="shared" ca="1" si="14"/>
        <v>0</v>
      </c>
      <c r="K76" s="110">
        <f t="shared" ca="1" si="14"/>
        <v>0</v>
      </c>
      <c r="L76" s="110">
        <f t="shared" ca="1" si="14"/>
        <v>0</v>
      </c>
      <c r="M76" s="110">
        <f t="shared" ca="1" si="14"/>
        <v>0</v>
      </c>
      <c r="N76" s="110">
        <f t="shared" ca="1" si="14"/>
        <v>0</v>
      </c>
      <c r="O76" s="110">
        <f t="shared" ca="1" si="14"/>
        <v>0</v>
      </c>
      <c r="P76" s="110">
        <f t="shared" ca="1" si="14"/>
        <v>0</v>
      </c>
      <c r="Q76" s="110">
        <f t="shared" ca="1" si="14"/>
        <v>0</v>
      </c>
      <c r="R76" s="110">
        <f t="shared" ca="1" si="14"/>
        <v>0</v>
      </c>
      <c r="S76" s="110">
        <f t="shared" ca="1" si="14"/>
        <v>0</v>
      </c>
      <c r="T76" s="110">
        <f t="shared" ca="1" si="14"/>
        <v>0</v>
      </c>
      <c r="U76" s="110">
        <f t="shared" ca="1" si="14"/>
        <v>0</v>
      </c>
      <c r="V76" s="110">
        <f t="shared" ca="1" si="15"/>
        <v>0</v>
      </c>
      <c r="W76" s="110">
        <f t="shared" ca="1" si="15"/>
        <v>0</v>
      </c>
      <c r="X76" s="110">
        <f t="shared" ca="1" si="15"/>
        <v>0</v>
      </c>
      <c r="Y76" s="110">
        <f t="shared" ca="1" si="15"/>
        <v>0</v>
      </c>
      <c r="Z76" s="110">
        <f t="shared" ca="1" si="15"/>
        <v>0</v>
      </c>
      <c r="AA76" s="110">
        <f t="shared" ca="1" si="15"/>
        <v>0</v>
      </c>
      <c r="AB76" s="110">
        <f t="shared" ca="1" si="15"/>
        <v>0</v>
      </c>
      <c r="AC76" s="110">
        <f t="shared" ca="1" si="15"/>
        <v>0</v>
      </c>
      <c r="AD76" s="110">
        <f t="shared" ca="1" si="15"/>
        <v>0</v>
      </c>
      <c r="AE76" s="110">
        <f t="shared" ca="1" si="15"/>
        <v>0</v>
      </c>
      <c r="AF76" s="110">
        <f t="shared" ca="1" si="15"/>
        <v>0</v>
      </c>
      <c r="AG76" s="110">
        <f t="shared" ca="1" si="15"/>
        <v>0</v>
      </c>
      <c r="AH76" s="110">
        <f t="shared" ca="1" si="15"/>
        <v>0</v>
      </c>
      <c r="AI76" s="110">
        <f t="shared" ca="1" si="15"/>
        <v>0</v>
      </c>
      <c r="AJ76" s="110">
        <f t="shared" ca="1" si="15"/>
        <v>0</v>
      </c>
      <c r="AK76" s="110">
        <f t="shared" ca="1" si="15"/>
        <v>0</v>
      </c>
      <c r="AL76" s="110">
        <f t="shared" ca="1" si="16"/>
        <v>0</v>
      </c>
      <c r="AM76" s="110">
        <f t="shared" ca="1" si="16"/>
        <v>0</v>
      </c>
      <c r="AN76" s="110">
        <f t="shared" ca="1" si="16"/>
        <v>0</v>
      </c>
      <c r="AO76" s="110">
        <f t="shared" ca="1" si="16"/>
        <v>0</v>
      </c>
    </row>
    <row r="77" spans="2:41">
      <c r="B77" s="22" t="s">
        <v>539</v>
      </c>
      <c r="C77" s="103">
        <v>0</v>
      </c>
      <c r="D77" s="106">
        <f t="shared" ca="1" si="18"/>
        <v>45189</v>
      </c>
      <c r="E77" s="110">
        <f t="shared" ca="1" si="17"/>
        <v>0</v>
      </c>
      <c r="F77" s="110">
        <f t="shared" ca="1" si="14"/>
        <v>0</v>
      </c>
      <c r="G77" s="110">
        <f t="shared" ca="1" si="14"/>
        <v>0</v>
      </c>
      <c r="H77" s="110">
        <f t="shared" ca="1" si="14"/>
        <v>0</v>
      </c>
      <c r="I77" s="110">
        <f t="shared" ca="1" si="14"/>
        <v>0</v>
      </c>
      <c r="J77" s="110">
        <f t="shared" ca="1" si="14"/>
        <v>0</v>
      </c>
      <c r="K77" s="110">
        <f t="shared" ca="1" si="14"/>
        <v>0</v>
      </c>
      <c r="L77" s="110">
        <f t="shared" ca="1" si="14"/>
        <v>0</v>
      </c>
      <c r="M77" s="110">
        <f t="shared" ca="1" si="14"/>
        <v>0</v>
      </c>
      <c r="N77" s="110">
        <f t="shared" ca="1" si="14"/>
        <v>0</v>
      </c>
      <c r="O77" s="110">
        <f t="shared" ca="1" si="14"/>
        <v>0</v>
      </c>
      <c r="P77" s="110">
        <f t="shared" ca="1" si="14"/>
        <v>0</v>
      </c>
      <c r="Q77" s="110">
        <f t="shared" ca="1" si="14"/>
        <v>0</v>
      </c>
      <c r="R77" s="110">
        <f t="shared" ca="1" si="14"/>
        <v>0</v>
      </c>
      <c r="S77" s="110">
        <f t="shared" ca="1" si="14"/>
        <v>0</v>
      </c>
      <c r="T77" s="110">
        <f t="shared" ca="1" si="14"/>
        <v>0</v>
      </c>
      <c r="U77" s="110">
        <f t="shared" ca="1" si="14"/>
        <v>0</v>
      </c>
      <c r="V77" s="110">
        <f t="shared" ca="1" si="15"/>
        <v>0</v>
      </c>
      <c r="W77" s="110">
        <f t="shared" ca="1" si="15"/>
        <v>0</v>
      </c>
      <c r="X77" s="110">
        <f t="shared" ca="1" si="15"/>
        <v>0</v>
      </c>
      <c r="Y77" s="110">
        <f t="shared" ca="1" si="15"/>
        <v>0</v>
      </c>
      <c r="Z77" s="110">
        <f t="shared" ca="1" si="15"/>
        <v>0</v>
      </c>
      <c r="AA77" s="110">
        <f t="shared" ca="1" si="15"/>
        <v>0</v>
      </c>
      <c r="AB77" s="110">
        <f t="shared" ca="1" si="15"/>
        <v>0</v>
      </c>
      <c r="AC77" s="110">
        <f t="shared" ca="1" si="15"/>
        <v>0</v>
      </c>
      <c r="AD77" s="110">
        <f t="shared" ca="1" si="15"/>
        <v>0</v>
      </c>
      <c r="AE77" s="110">
        <f t="shared" ca="1" si="15"/>
        <v>0</v>
      </c>
      <c r="AF77" s="110">
        <f t="shared" ca="1" si="15"/>
        <v>0</v>
      </c>
      <c r="AG77" s="110">
        <f t="shared" ca="1" si="15"/>
        <v>0</v>
      </c>
      <c r="AH77" s="110">
        <f t="shared" ca="1" si="15"/>
        <v>0</v>
      </c>
      <c r="AI77" s="110">
        <f t="shared" ca="1" si="15"/>
        <v>0</v>
      </c>
      <c r="AJ77" s="110">
        <f t="shared" ca="1" si="15"/>
        <v>0</v>
      </c>
      <c r="AK77" s="110">
        <f t="shared" ca="1" si="15"/>
        <v>0</v>
      </c>
      <c r="AL77" s="110">
        <f t="shared" ca="1" si="16"/>
        <v>0</v>
      </c>
      <c r="AM77" s="110">
        <f t="shared" ca="1" si="16"/>
        <v>0</v>
      </c>
      <c r="AN77" s="110">
        <f t="shared" ca="1" si="16"/>
        <v>0</v>
      </c>
      <c r="AO77" s="110">
        <f t="shared" ca="1" si="16"/>
        <v>0</v>
      </c>
    </row>
    <row r="78" spans="2:41">
      <c r="B78" s="22" t="s">
        <v>505</v>
      </c>
      <c r="C78" s="103">
        <v>0.18</v>
      </c>
      <c r="D78" s="106">
        <f t="shared" ca="1" si="18"/>
        <v>45190</v>
      </c>
      <c r="E78" s="110">
        <f t="shared" ca="1" si="17"/>
        <v>0</v>
      </c>
      <c r="F78" s="110">
        <f t="shared" ca="1" si="14"/>
        <v>0</v>
      </c>
      <c r="G78" s="110">
        <f t="shared" ca="1" si="14"/>
        <v>0</v>
      </c>
      <c r="H78" s="110">
        <f t="shared" ca="1" si="14"/>
        <v>0</v>
      </c>
      <c r="I78" s="110">
        <f t="shared" ca="1" si="14"/>
        <v>0</v>
      </c>
      <c r="J78" s="110">
        <f t="shared" ca="1" si="14"/>
        <v>0</v>
      </c>
      <c r="K78" s="110">
        <f t="shared" ca="1" si="14"/>
        <v>0</v>
      </c>
      <c r="L78" s="110">
        <f t="shared" ca="1" si="14"/>
        <v>0</v>
      </c>
      <c r="M78" s="110">
        <f t="shared" ca="1" si="14"/>
        <v>0</v>
      </c>
      <c r="N78" s="110">
        <f t="shared" ca="1" si="14"/>
        <v>0</v>
      </c>
      <c r="O78" s="110">
        <f t="shared" ca="1" si="14"/>
        <v>0</v>
      </c>
      <c r="P78" s="110">
        <f t="shared" ca="1" si="14"/>
        <v>0</v>
      </c>
      <c r="Q78" s="110">
        <f t="shared" ca="1" si="14"/>
        <v>0</v>
      </c>
      <c r="R78" s="110">
        <f t="shared" ca="1" si="14"/>
        <v>0</v>
      </c>
      <c r="S78" s="110">
        <f t="shared" ca="1" si="14"/>
        <v>0</v>
      </c>
      <c r="T78" s="110">
        <f t="shared" ca="1" si="14"/>
        <v>0</v>
      </c>
      <c r="U78" s="110">
        <f t="shared" ca="1" si="14"/>
        <v>0</v>
      </c>
      <c r="V78" s="110">
        <f t="shared" ca="1" si="15"/>
        <v>0</v>
      </c>
      <c r="W78" s="110">
        <f t="shared" ca="1" si="15"/>
        <v>0</v>
      </c>
      <c r="X78" s="110">
        <f t="shared" ca="1" si="15"/>
        <v>0</v>
      </c>
      <c r="Y78" s="110">
        <f t="shared" ca="1" si="15"/>
        <v>0</v>
      </c>
      <c r="Z78" s="110">
        <f t="shared" ca="1" si="15"/>
        <v>0</v>
      </c>
      <c r="AA78" s="110">
        <f t="shared" ca="1" si="15"/>
        <v>0</v>
      </c>
      <c r="AB78" s="110">
        <f t="shared" ca="1" si="15"/>
        <v>0</v>
      </c>
      <c r="AC78" s="110">
        <f t="shared" ca="1" si="15"/>
        <v>0</v>
      </c>
      <c r="AD78" s="110">
        <f t="shared" ca="1" si="15"/>
        <v>0</v>
      </c>
      <c r="AE78" s="110">
        <f t="shared" ca="1" si="15"/>
        <v>0</v>
      </c>
      <c r="AF78" s="110">
        <f t="shared" ca="1" si="15"/>
        <v>0</v>
      </c>
      <c r="AG78" s="110">
        <f t="shared" ca="1" si="15"/>
        <v>0</v>
      </c>
      <c r="AH78" s="110">
        <f t="shared" ca="1" si="15"/>
        <v>0</v>
      </c>
      <c r="AI78" s="110">
        <f t="shared" ca="1" si="15"/>
        <v>0</v>
      </c>
      <c r="AJ78" s="110">
        <f t="shared" ca="1" si="15"/>
        <v>0</v>
      </c>
      <c r="AK78" s="110">
        <f t="shared" ca="1" si="15"/>
        <v>0</v>
      </c>
      <c r="AL78" s="110">
        <f t="shared" ca="1" si="16"/>
        <v>0</v>
      </c>
      <c r="AM78" s="110">
        <f t="shared" ca="1" si="16"/>
        <v>0</v>
      </c>
      <c r="AN78" s="110">
        <f t="shared" ca="1" si="16"/>
        <v>0</v>
      </c>
      <c r="AO78" s="110">
        <f t="shared" ca="1" si="16"/>
        <v>0</v>
      </c>
    </row>
    <row r="79" spans="2:41">
      <c r="B79" s="22" t="s">
        <v>540</v>
      </c>
      <c r="C79" s="22" t="s">
        <v>481</v>
      </c>
      <c r="D79" s="106">
        <f t="shared" ca="1" si="18"/>
        <v>45191</v>
      </c>
      <c r="E79" s="110">
        <f t="shared" ca="1" si="17"/>
        <v>0</v>
      </c>
      <c r="F79" s="110">
        <f t="shared" ca="1" si="14"/>
        <v>0</v>
      </c>
      <c r="G79" s="110">
        <f t="shared" ca="1" si="14"/>
        <v>0</v>
      </c>
      <c r="H79" s="110">
        <f t="shared" ca="1" si="14"/>
        <v>0</v>
      </c>
      <c r="I79" s="110">
        <f t="shared" ca="1" si="14"/>
        <v>0</v>
      </c>
      <c r="J79" s="110">
        <f t="shared" ca="1" si="14"/>
        <v>0</v>
      </c>
      <c r="K79" s="110">
        <f t="shared" ca="1" si="14"/>
        <v>0</v>
      </c>
      <c r="L79" s="110">
        <f t="shared" ca="1" si="14"/>
        <v>0</v>
      </c>
      <c r="M79" s="110">
        <f t="shared" ca="1" si="14"/>
        <v>0</v>
      </c>
      <c r="N79" s="110">
        <f t="shared" ca="1" si="14"/>
        <v>0</v>
      </c>
      <c r="O79" s="110">
        <f t="shared" ca="1" si="14"/>
        <v>0</v>
      </c>
      <c r="P79" s="110">
        <f t="shared" ca="1" si="14"/>
        <v>0</v>
      </c>
      <c r="Q79" s="110">
        <f t="shared" ca="1" si="14"/>
        <v>0</v>
      </c>
      <c r="R79" s="110">
        <f t="shared" ca="1" si="14"/>
        <v>0</v>
      </c>
      <c r="S79" s="110">
        <f t="shared" ca="1" si="14"/>
        <v>0</v>
      </c>
      <c r="T79" s="110">
        <f t="shared" ca="1" si="14"/>
        <v>0</v>
      </c>
      <c r="U79" s="110">
        <f t="shared" ca="1" si="14"/>
        <v>0</v>
      </c>
      <c r="V79" s="110">
        <f t="shared" ca="1" si="15"/>
        <v>0</v>
      </c>
      <c r="W79" s="110">
        <f t="shared" ca="1" si="15"/>
        <v>0</v>
      </c>
      <c r="X79" s="110">
        <f t="shared" ca="1" si="15"/>
        <v>0</v>
      </c>
      <c r="Y79" s="110">
        <f t="shared" ca="1" si="15"/>
        <v>0</v>
      </c>
      <c r="Z79" s="110">
        <f t="shared" ca="1" si="15"/>
        <v>0</v>
      </c>
      <c r="AA79" s="110">
        <f t="shared" ca="1" si="15"/>
        <v>0</v>
      </c>
      <c r="AB79" s="110">
        <f t="shared" ca="1" si="15"/>
        <v>0</v>
      </c>
      <c r="AC79" s="110">
        <f t="shared" ca="1" si="15"/>
        <v>0</v>
      </c>
      <c r="AD79" s="110">
        <f t="shared" ca="1" si="15"/>
        <v>0</v>
      </c>
      <c r="AE79" s="110">
        <f t="shared" ca="1" si="15"/>
        <v>0</v>
      </c>
      <c r="AF79" s="110">
        <f t="shared" ca="1" si="15"/>
        <v>0</v>
      </c>
      <c r="AG79" s="110">
        <f t="shared" ca="1" si="15"/>
        <v>0</v>
      </c>
      <c r="AH79" s="110">
        <f t="shared" ca="1" si="15"/>
        <v>0</v>
      </c>
      <c r="AI79" s="110">
        <f t="shared" ca="1" si="15"/>
        <v>0</v>
      </c>
      <c r="AJ79" s="110">
        <f t="shared" ca="1" si="15"/>
        <v>0</v>
      </c>
      <c r="AK79" s="110">
        <f t="shared" ca="1" si="15"/>
        <v>0</v>
      </c>
      <c r="AL79" s="110">
        <f t="shared" ca="1" si="16"/>
        <v>0</v>
      </c>
      <c r="AM79" s="110">
        <f t="shared" ca="1" si="16"/>
        <v>0</v>
      </c>
      <c r="AN79" s="110">
        <f t="shared" ca="1" si="16"/>
        <v>0</v>
      </c>
      <c r="AO79" s="110">
        <f t="shared" ca="1" si="16"/>
        <v>0</v>
      </c>
    </row>
    <row r="80" spans="2:41">
      <c r="B80" s="22" t="s">
        <v>23</v>
      </c>
      <c r="C80" s="22">
        <v>521</v>
      </c>
      <c r="D80" s="106">
        <f t="shared" ca="1" si="18"/>
        <v>45194</v>
      </c>
      <c r="E80" s="110">
        <f t="shared" ca="1" si="17"/>
        <v>0</v>
      </c>
      <c r="F80" s="110">
        <f t="shared" ca="1" si="14"/>
        <v>0</v>
      </c>
      <c r="G80" s="110">
        <f t="shared" ca="1" si="14"/>
        <v>0</v>
      </c>
      <c r="H80" s="110">
        <f t="shared" ca="1" si="14"/>
        <v>0</v>
      </c>
      <c r="I80" s="110">
        <f t="shared" ca="1" si="14"/>
        <v>0</v>
      </c>
      <c r="J80" s="110">
        <f t="shared" ca="1" si="14"/>
        <v>0</v>
      </c>
      <c r="K80" s="110">
        <f t="shared" ca="1" si="14"/>
        <v>0</v>
      </c>
      <c r="L80" s="110">
        <f t="shared" ca="1" si="14"/>
        <v>0</v>
      </c>
      <c r="M80" s="110">
        <f t="shared" ca="1" si="14"/>
        <v>0</v>
      </c>
      <c r="N80" s="110">
        <f t="shared" ca="1" si="14"/>
        <v>0</v>
      </c>
      <c r="O80" s="110">
        <f t="shared" ca="1" si="14"/>
        <v>0</v>
      </c>
      <c r="P80" s="110">
        <f t="shared" ca="1" si="14"/>
        <v>0</v>
      </c>
      <c r="Q80" s="110">
        <f t="shared" ca="1" si="14"/>
        <v>0</v>
      </c>
      <c r="R80" s="110">
        <f t="shared" ca="1" si="14"/>
        <v>0</v>
      </c>
      <c r="S80" s="110">
        <f t="shared" ca="1" si="14"/>
        <v>0</v>
      </c>
      <c r="T80" s="110">
        <f t="shared" ca="1" si="14"/>
        <v>0</v>
      </c>
      <c r="U80" s="110">
        <f t="shared" ca="1" si="14"/>
        <v>0</v>
      </c>
      <c r="V80" s="110">
        <f t="shared" ca="1" si="15"/>
        <v>0</v>
      </c>
      <c r="W80" s="110">
        <f t="shared" ca="1" si="15"/>
        <v>0</v>
      </c>
      <c r="X80" s="110">
        <f t="shared" ca="1" si="15"/>
        <v>0</v>
      </c>
      <c r="Y80" s="110">
        <f t="shared" ca="1" si="15"/>
        <v>0</v>
      </c>
      <c r="Z80" s="110">
        <f t="shared" ca="1" si="15"/>
        <v>0</v>
      </c>
      <c r="AA80" s="110">
        <f t="shared" ca="1" si="15"/>
        <v>0</v>
      </c>
      <c r="AB80" s="110">
        <f t="shared" ca="1" si="15"/>
        <v>0</v>
      </c>
      <c r="AC80" s="110">
        <f t="shared" ca="1" si="15"/>
        <v>0</v>
      </c>
      <c r="AD80" s="110">
        <f t="shared" ca="1" si="15"/>
        <v>0</v>
      </c>
      <c r="AE80" s="110">
        <f t="shared" ca="1" si="15"/>
        <v>0</v>
      </c>
      <c r="AF80" s="110">
        <f t="shared" ca="1" si="15"/>
        <v>0</v>
      </c>
      <c r="AG80" s="110">
        <f t="shared" ca="1" si="15"/>
        <v>0</v>
      </c>
      <c r="AH80" s="110">
        <f t="shared" ca="1" si="15"/>
        <v>0</v>
      </c>
      <c r="AI80" s="110">
        <f t="shared" ca="1" si="15"/>
        <v>0</v>
      </c>
      <c r="AJ80" s="110">
        <f t="shared" ca="1" si="15"/>
        <v>0</v>
      </c>
      <c r="AK80" s="110">
        <f t="shared" ca="1" si="15"/>
        <v>0</v>
      </c>
      <c r="AL80" s="110">
        <f t="shared" ca="1" si="16"/>
        <v>0</v>
      </c>
      <c r="AM80" s="110">
        <f t="shared" ca="1" si="16"/>
        <v>0</v>
      </c>
      <c r="AN80" s="110">
        <f t="shared" ca="1" si="16"/>
        <v>0</v>
      </c>
      <c r="AO80" s="110">
        <f t="shared" ca="1" si="16"/>
        <v>0</v>
      </c>
    </row>
    <row r="81" spans="2:41">
      <c r="B81" s="22" t="s">
        <v>3</v>
      </c>
      <c r="C81" s="22">
        <v>200</v>
      </c>
      <c r="D81" s="106">
        <f t="shared" ca="1" si="18"/>
        <v>45195</v>
      </c>
      <c r="E81" s="110">
        <f t="shared" ca="1" si="17"/>
        <v>0</v>
      </c>
      <c r="F81" s="110">
        <f t="shared" ca="1" si="14"/>
        <v>0</v>
      </c>
      <c r="G81" s="110">
        <f t="shared" ca="1" si="14"/>
        <v>0</v>
      </c>
      <c r="H81" s="110">
        <f t="shared" ca="1" si="14"/>
        <v>0</v>
      </c>
      <c r="I81" s="110">
        <f t="shared" ca="1" si="14"/>
        <v>0</v>
      </c>
      <c r="J81" s="110">
        <f t="shared" ca="1" si="14"/>
        <v>0</v>
      </c>
      <c r="K81" s="110">
        <f t="shared" ca="1" si="14"/>
        <v>0</v>
      </c>
      <c r="L81" s="110">
        <f t="shared" ca="1" si="14"/>
        <v>0</v>
      </c>
      <c r="M81" s="110">
        <f t="shared" ca="1" si="14"/>
        <v>0</v>
      </c>
      <c r="N81" s="110">
        <f t="shared" ca="1" si="14"/>
        <v>0</v>
      </c>
      <c r="O81" s="110">
        <f t="shared" ca="1" si="14"/>
        <v>0</v>
      </c>
      <c r="P81" s="110">
        <f t="shared" ca="1" si="14"/>
        <v>0</v>
      </c>
      <c r="Q81" s="110">
        <f t="shared" ca="1" si="14"/>
        <v>0</v>
      </c>
      <c r="R81" s="110">
        <f t="shared" ca="1" si="14"/>
        <v>0</v>
      </c>
      <c r="S81" s="110">
        <f t="shared" ca="1" si="14"/>
        <v>0</v>
      </c>
      <c r="T81" s="110">
        <f t="shared" ca="1" si="14"/>
        <v>0</v>
      </c>
      <c r="U81" s="110">
        <f t="shared" ca="1" si="14"/>
        <v>0</v>
      </c>
      <c r="V81" s="110">
        <f t="shared" ca="1" si="15"/>
        <v>0</v>
      </c>
      <c r="W81" s="110">
        <f t="shared" ca="1" si="15"/>
        <v>0</v>
      </c>
      <c r="X81" s="110">
        <f t="shared" ca="1" si="15"/>
        <v>0</v>
      </c>
      <c r="Y81" s="110">
        <f t="shared" ca="1" si="15"/>
        <v>0</v>
      </c>
      <c r="Z81" s="110">
        <f t="shared" ca="1" si="15"/>
        <v>0</v>
      </c>
      <c r="AA81" s="110">
        <f t="shared" ca="1" si="15"/>
        <v>0</v>
      </c>
      <c r="AB81" s="110">
        <f t="shared" ca="1" si="15"/>
        <v>0</v>
      </c>
      <c r="AC81" s="110">
        <f t="shared" ca="1" si="15"/>
        <v>0</v>
      </c>
      <c r="AD81" s="110">
        <f t="shared" ca="1" si="15"/>
        <v>0</v>
      </c>
      <c r="AE81" s="110">
        <f t="shared" ca="1" si="15"/>
        <v>0</v>
      </c>
      <c r="AF81" s="110">
        <f t="shared" ca="1" si="15"/>
        <v>0</v>
      </c>
      <c r="AG81" s="110">
        <f t="shared" ca="1" si="15"/>
        <v>0</v>
      </c>
      <c r="AH81" s="110">
        <f t="shared" ca="1" si="15"/>
        <v>0</v>
      </c>
      <c r="AI81" s="110">
        <f t="shared" ca="1" si="15"/>
        <v>0</v>
      </c>
      <c r="AJ81" s="110">
        <f t="shared" ca="1" si="15"/>
        <v>0</v>
      </c>
      <c r="AK81" s="110">
        <f t="shared" ca="1" si="15"/>
        <v>0</v>
      </c>
      <c r="AL81" s="110">
        <f t="shared" ca="1" si="16"/>
        <v>0</v>
      </c>
      <c r="AM81" s="110">
        <f t="shared" ca="1" si="16"/>
        <v>0</v>
      </c>
      <c r="AN81" s="110">
        <f t="shared" ca="1" si="16"/>
        <v>0</v>
      </c>
      <c r="AO81" s="110">
        <f t="shared" ca="1" si="16"/>
        <v>0</v>
      </c>
    </row>
    <row r="82" spans="2:41">
      <c r="B82" s="22" t="s">
        <v>537</v>
      </c>
      <c r="C82" s="121" t="e">
        <f ca="1">ImpliedVolatility(LEFT(C79),C72,C74,C76,C84,C77,C83,16%)</f>
        <v>#VALUE!</v>
      </c>
      <c r="D82" s="106">
        <f t="shared" ca="1" si="18"/>
        <v>45196</v>
      </c>
      <c r="E82" s="110">
        <f t="shared" ca="1" si="17"/>
        <v>0</v>
      </c>
      <c r="F82" s="110">
        <f t="shared" ca="1" si="14"/>
        <v>0</v>
      </c>
      <c r="G82" s="110">
        <f t="shared" ca="1" si="14"/>
        <v>0</v>
      </c>
      <c r="H82" s="110">
        <f t="shared" ca="1" si="14"/>
        <v>0</v>
      </c>
      <c r="I82" s="110">
        <f t="shared" ca="1" si="14"/>
        <v>0</v>
      </c>
      <c r="J82" s="110">
        <f t="shared" ca="1" si="14"/>
        <v>0</v>
      </c>
      <c r="K82" s="110">
        <f t="shared" ca="1" si="14"/>
        <v>0</v>
      </c>
      <c r="L82" s="110">
        <f t="shared" ca="1" si="14"/>
        <v>0</v>
      </c>
      <c r="M82" s="110">
        <f t="shared" ca="1" si="14"/>
        <v>0</v>
      </c>
      <c r="N82" s="110">
        <f t="shared" ca="1" si="14"/>
        <v>0</v>
      </c>
      <c r="O82" s="110">
        <f t="shared" ca="1" si="14"/>
        <v>0</v>
      </c>
      <c r="P82" s="110">
        <f t="shared" ca="1" si="14"/>
        <v>0</v>
      </c>
      <c r="Q82" s="110">
        <f t="shared" ca="1" si="14"/>
        <v>0</v>
      </c>
      <c r="R82" s="110">
        <f t="shared" ca="1" si="14"/>
        <v>0</v>
      </c>
      <c r="S82" s="110">
        <f t="shared" ca="1" si="14"/>
        <v>0</v>
      </c>
      <c r="T82" s="110">
        <f t="shared" ca="1" si="14"/>
        <v>0</v>
      </c>
      <c r="U82" s="110">
        <f t="shared" ca="1" si="14"/>
        <v>0</v>
      </c>
      <c r="V82" s="110">
        <f t="shared" ca="1" si="15"/>
        <v>0</v>
      </c>
      <c r="W82" s="110">
        <f t="shared" ca="1" si="15"/>
        <v>0</v>
      </c>
      <c r="X82" s="110">
        <f t="shared" ca="1" si="15"/>
        <v>0</v>
      </c>
      <c r="Y82" s="110">
        <f t="shared" ca="1" si="15"/>
        <v>0</v>
      </c>
      <c r="Z82" s="110">
        <f t="shared" ca="1" si="15"/>
        <v>0</v>
      </c>
      <c r="AA82" s="110">
        <f t="shared" ca="1" si="15"/>
        <v>0</v>
      </c>
      <c r="AB82" s="110">
        <f t="shared" ca="1" si="15"/>
        <v>0</v>
      </c>
      <c r="AC82" s="110">
        <f t="shared" ca="1" si="15"/>
        <v>0</v>
      </c>
      <c r="AD82" s="110">
        <f t="shared" ca="1" si="15"/>
        <v>0</v>
      </c>
      <c r="AE82" s="110">
        <f t="shared" ca="1" si="15"/>
        <v>0</v>
      </c>
      <c r="AF82" s="110">
        <f t="shared" ca="1" si="15"/>
        <v>0</v>
      </c>
      <c r="AG82" s="110">
        <f t="shared" ca="1" si="15"/>
        <v>0</v>
      </c>
      <c r="AH82" s="110">
        <f t="shared" ca="1" si="15"/>
        <v>0</v>
      </c>
      <c r="AI82" s="110">
        <f t="shared" ca="1" si="15"/>
        <v>0</v>
      </c>
      <c r="AJ82" s="110">
        <f t="shared" ca="1" si="15"/>
        <v>0</v>
      </c>
      <c r="AK82" s="110">
        <f t="shared" ca="1" si="15"/>
        <v>0</v>
      </c>
      <c r="AL82" s="110">
        <f t="shared" ca="1" si="16"/>
        <v>0</v>
      </c>
      <c r="AM82" s="110">
        <f t="shared" ca="1" si="16"/>
        <v>0</v>
      </c>
      <c r="AN82" s="110">
        <f t="shared" ca="1" si="16"/>
        <v>0</v>
      </c>
      <c r="AO82" s="110">
        <f t="shared" ca="1" si="16"/>
        <v>0</v>
      </c>
    </row>
    <row r="83" spans="2:41">
      <c r="B83" s="22" t="s">
        <v>487</v>
      </c>
      <c r="C83" s="22">
        <v>267</v>
      </c>
      <c r="D83" s="106">
        <f t="shared" ca="1" si="18"/>
        <v>45197</v>
      </c>
      <c r="E83" s="110">
        <f t="shared" ca="1" si="17"/>
        <v>0</v>
      </c>
      <c r="F83" s="110">
        <f t="shared" ca="1" si="14"/>
        <v>0</v>
      </c>
      <c r="G83" s="110">
        <f t="shared" ca="1" si="14"/>
        <v>0</v>
      </c>
      <c r="H83" s="110">
        <f t="shared" ca="1" si="14"/>
        <v>0</v>
      </c>
      <c r="I83" s="110">
        <f t="shared" ca="1" si="14"/>
        <v>0</v>
      </c>
      <c r="J83" s="110">
        <f t="shared" ca="1" si="14"/>
        <v>0</v>
      </c>
      <c r="K83" s="110">
        <f t="shared" ca="1" si="14"/>
        <v>0</v>
      </c>
      <c r="L83" s="110">
        <f t="shared" ca="1" si="14"/>
        <v>0</v>
      </c>
      <c r="M83" s="110">
        <f t="shared" ca="1" si="14"/>
        <v>0</v>
      </c>
      <c r="N83" s="110">
        <f t="shared" ca="1" si="14"/>
        <v>0</v>
      </c>
      <c r="O83" s="110">
        <f t="shared" ca="1" si="14"/>
        <v>0</v>
      </c>
      <c r="P83" s="110">
        <f t="shared" ca="1" si="14"/>
        <v>0</v>
      </c>
      <c r="Q83" s="110">
        <f t="shared" ca="1" si="14"/>
        <v>0</v>
      </c>
      <c r="R83" s="110">
        <f t="shared" ca="1" si="14"/>
        <v>0</v>
      </c>
      <c r="S83" s="110">
        <f t="shared" ca="1" si="14"/>
        <v>0</v>
      </c>
      <c r="T83" s="110">
        <f t="shared" ca="1" si="14"/>
        <v>0</v>
      </c>
      <c r="U83" s="110">
        <f t="shared" ca="1" si="14"/>
        <v>0</v>
      </c>
      <c r="V83" s="110">
        <f t="shared" ca="1" si="15"/>
        <v>0</v>
      </c>
      <c r="W83" s="110">
        <f t="shared" ca="1" si="15"/>
        <v>0</v>
      </c>
      <c r="X83" s="110">
        <f t="shared" ca="1" si="15"/>
        <v>0</v>
      </c>
      <c r="Y83" s="110">
        <f t="shared" ca="1" si="15"/>
        <v>0</v>
      </c>
      <c r="Z83" s="110">
        <f t="shared" ca="1" si="15"/>
        <v>0</v>
      </c>
      <c r="AA83" s="110">
        <f t="shared" ca="1" si="15"/>
        <v>0</v>
      </c>
      <c r="AB83" s="110">
        <f t="shared" ca="1" si="15"/>
        <v>0</v>
      </c>
      <c r="AC83" s="110">
        <f t="shared" ca="1" si="15"/>
        <v>0</v>
      </c>
      <c r="AD83" s="110">
        <f t="shared" ca="1" si="15"/>
        <v>0</v>
      </c>
      <c r="AE83" s="110">
        <f t="shared" ca="1" si="15"/>
        <v>0</v>
      </c>
      <c r="AF83" s="110">
        <f t="shared" ca="1" si="15"/>
        <v>0</v>
      </c>
      <c r="AG83" s="110">
        <f t="shared" ca="1" si="15"/>
        <v>0</v>
      </c>
      <c r="AH83" s="110">
        <f t="shared" ca="1" si="15"/>
        <v>0</v>
      </c>
      <c r="AI83" s="110">
        <f t="shared" ca="1" si="15"/>
        <v>0</v>
      </c>
      <c r="AJ83" s="110">
        <f t="shared" ca="1" si="15"/>
        <v>0</v>
      </c>
      <c r="AK83" s="110">
        <f t="shared" ca="1" si="15"/>
        <v>0</v>
      </c>
      <c r="AL83" s="110">
        <f t="shared" ca="1" si="16"/>
        <v>0</v>
      </c>
      <c r="AM83" s="110">
        <f t="shared" ca="1" si="16"/>
        <v>0</v>
      </c>
      <c r="AN83" s="110">
        <f t="shared" ca="1" si="16"/>
        <v>0</v>
      </c>
      <c r="AO83" s="110">
        <f t="shared" ca="1" si="16"/>
        <v>0</v>
      </c>
    </row>
    <row r="84" spans="2:41">
      <c r="B84" s="22" t="s">
        <v>556</v>
      </c>
      <c r="C84" s="22">
        <f ca="1">(C75-TODAY())/365</f>
        <v>-1.8054794520547945</v>
      </c>
      <c r="D84" s="106">
        <f t="shared" ca="1" si="18"/>
        <v>45198</v>
      </c>
      <c r="E84" s="110">
        <f t="shared" ca="1" si="17"/>
        <v>0</v>
      </c>
      <c r="F84" s="110">
        <f t="shared" ca="1" si="14"/>
        <v>0</v>
      </c>
      <c r="G84" s="110">
        <f t="shared" ca="1" si="14"/>
        <v>0</v>
      </c>
      <c r="H84" s="110">
        <f t="shared" ca="1" si="14"/>
        <v>0</v>
      </c>
      <c r="I84" s="110">
        <f t="shared" ca="1" si="14"/>
        <v>0</v>
      </c>
      <c r="J84" s="110">
        <f t="shared" ca="1" si="14"/>
        <v>0</v>
      </c>
      <c r="K84" s="110">
        <f t="shared" ca="1" si="14"/>
        <v>0</v>
      </c>
      <c r="L84" s="110">
        <f t="shared" ca="1" si="14"/>
        <v>0</v>
      </c>
      <c r="M84" s="110">
        <f t="shared" ca="1" si="14"/>
        <v>0</v>
      </c>
      <c r="N84" s="110">
        <f t="shared" ca="1" si="14"/>
        <v>0</v>
      </c>
      <c r="O84" s="110">
        <f t="shared" ca="1" si="14"/>
        <v>0</v>
      </c>
      <c r="P84" s="110">
        <f t="shared" ca="1" si="14"/>
        <v>0</v>
      </c>
      <c r="Q84" s="110">
        <f t="shared" ca="1" si="14"/>
        <v>0</v>
      </c>
      <c r="R84" s="110">
        <f t="shared" ca="1" si="14"/>
        <v>0</v>
      </c>
      <c r="S84" s="110">
        <f t="shared" ca="1" si="14"/>
        <v>0</v>
      </c>
      <c r="T84" s="110">
        <f t="shared" ca="1" si="14"/>
        <v>0</v>
      </c>
      <c r="U84" s="110">
        <f t="shared" ca="1" si="14"/>
        <v>0</v>
      </c>
      <c r="V84" s="110">
        <f t="shared" ca="1" si="15"/>
        <v>0</v>
      </c>
      <c r="W84" s="110">
        <f t="shared" ca="1" si="15"/>
        <v>0</v>
      </c>
      <c r="X84" s="110">
        <f t="shared" ca="1" si="15"/>
        <v>0</v>
      </c>
      <c r="Y84" s="110">
        <f t="shared" ca="1" si="15"/>
        <v>0</v>
      </c>
      <c r="Z84" s="110">
        <f t="shared" ca="1" si="15"/>
        <v>0</v>
      </c>
      <c r="AA84" s="110">
        <f t="shared" ca="1" si="15"/>
        <v>0</v>
      </c>
      <c r="AB84" s="110">
        <f t="shared" ca="1" si="15"/>
        <v>0</v>
      </c>
      <c r="AC84" s="110">
        <f t="shared" ca="1" si="15"/>
        <v>0</v>
      </c>
      <c r="AD84" s="110">
        <f t="shared" ca="1" si="15"/>
        <v>0</v>
      </c>
      <c r="AE84" s="110">
        <f t="shared" ca="1" si="15"/>
        <v>0</v>
      </c>
      <c r="AF84" s="110">
        <f t="shared" ca="1" si="15"/>
        <v>0</v>
      </c>
      <c r="AG84" s="110">
        <f t="shared" ca="1" si="15"/>
        <v>0</v>
      </c>
      <c r="AH84" s="110">
        <f t="shared" ca="1" si="15"/>
        <v>0</v>
      </c>
      <c r="AI84" s="110">
        <f t="shared" ca="1" si="15"/>
        <v>0</v>
      </c>
      <c r="AJ84" s="110">
        <f t="shared" ca="1" si="15"/>
        <v>0</v>
      </c>
      <c r="AK84" s="110">
        <f t="shared" ca="1" si="15"/>
        <v>0</v>
      </c>
      <c r="AL84" s="110">
        <f t="shared" ca="1" si="16"/>
        <v>0</v>
      </c>
      <c r="AM84" s="110">
        <f t="shared" ca="1" si="16"/>
        <v>0</v>
      </c>
      <c r="AN84" s="110">
        <f t="shared" ca="1" si="16"/>
        <v>0</v>
      </c>
      <c r="AO84" s="110">
        <f t="shared" ca="1" si="16"/>
        <v>0</v>
      </c>
    </row>
    <row r="85" spans="2:41">
      <c r="D85" s="106">
        <f t="shared" ca="1" si="18"/>
        <v>45201</v>
      </c>
      <c r="E85" s="110">
        <f t="shared" ca="1" si="17"/>
        <v>0</v>
      </c>
      <c r="F85" s="110">
        <f t="shared" ca="1" si="14"/>
        <v>0</v>
      </c>
      <c r="G85" s="110">
        <f t="shared" ca="1" si="14"/>
        <v>0</v>
      </c>
      <c r="H85" s="110">
        <f t="shared" ca="1" si="14"/>
        <v>0</v>
      </c>
      <c r="I85" s="110">
        <f t="shared" ca="1" si="14"/>
        <v>0</v>
      </c>
      <c r="J85" s="110">
        <f t="shared" ca="1" si="14"/>
        <v>0</v>
      </c>
      <c r="K85" s="110">
        <f t="shared" ca="1" si="14"/>
        <v>0</v>
      </c>
      <c r="L85" s="110">
        <f t="shared" ca="1" si="14"/>
        <v>0</v>
      </c>
      <c r="M85" s="110">
        <f t="shared" ca="1" si="14"/>
        <v>0</v>
      </c>
      <c r="N85" s="110">
        <f t="shared" ca="1" si="14"/>
        <v>0</v>
      </c>
      <c r="O85" s="110">
        <f t="shared" ca="1" si="14"/>
        <v>0</v>
      </c>
      <c r="P85" s="110">
        <f t="shared" ca="1" si="14"/>
        <v>0</v>
      </c>
      <c r="Q85" s="110">
        <f t="shared" ca="1" si="14"/>
        <v>0</v>
      </c>
      <c r="R85" s="110">
        <f t="shared" ca="1" si="14"/>
        <v>0</v>
      </c>
      <c r="S85" s="110">
        <f t="shared" ca="1" si="14"/>
        <v>0</v>
      </c>
      <c r="T85" s="110">
        <f t="shared" ca="1" si="14"/>
        <v>0</v>
      </c>
      <c r="U85" s="110">
        <f t="shared" ca="1" si="14"/>
        <v>0</v>
      </c>
      <c r="V85" s="110">
        <f t="shared" ca="1" si="15"/>
        <v>0</v>
      </c>
      <c r="W85" s="110">
        <f t="shared" ca="1" si="15"/>
        <v>0</v>
      </c>
      <c r="X85" s="110">
        <f t="shared" ca="1" si="15"/>
        <v>0</v>
      </c>
      <c r="Y85" s="110">
        <f t="shared" ca="1" si="15"/>
        <v>0</v>
      </c>
      <c r="Z85" s="110">
        <f t="shared" ca="1" si="15"/>
        <v>0</v>
      </c>
      <c r="AA85" s="110">
        <f t="shared" ca="1" si="15"/>
        <v>0</v>
      </c>
      <c r="AB85" s="110">
        <f t="shared" ca="1" si="15"/>
        <v>0</v>
      </c>
      <c r="AC85" s="110">
        <f t="shared" ca="1" si="15"/>
        <v>0</v>
      </c>
      <c r="AD85" s="110">
        <f t="shared" ca="1" si="15"/>
        <v>0</v>
      </c>
      <c r="AE85" s="110">
        <f t="shared" ca="1" si="15"/>
        <v>0</v>
      </c>
      <c r="AF85" s="110">
        <f t="shared" ca="1" si="15"/>
        <v>0</v>
      </c>
      <c r="AG85" s="110">
        <f t="shared" ca="1" si="15"/>
        <v>0</v>
      </c>
      <c r="AH85" s="110">
        <f t="shared" ca="1" si="15"/>
        <v>0</v>
      </c>
      <c r="AI85" s="110">
        <f t="shared" ca="1" si="15"/>
        <v>0</v>
      </c>
      <c r="AJ85" s="110">
        <f t="shared" ca="1" si="15"/>
        <v>0</v>
      </c>
      <c r="AK85" s="110">
        <f t="shared" ca="1" si="15"/>
        <v>0</v>
      </c>
      <c r="AL85" s="110">
        <f t="shared" ca="1" si="16"/>
        <v>0</v>
      </c>
      <c r="AM85" s="110">
        <f t="shared" ca="1" si="16"/>
        <v>0</v>
      </c>
      <c r="AN85" s="110">
        <f t="shared" ca="1" si="16"/>
        <v>0</v>
      </c>
      <c r="AO85" s="110">
        <f t="shared" ca="1" si="16"/>
        <v>0</v>
      </c>
    </row>
    <row r="86" spans="2:41">
      <c r="D86" s="106">
        <f t="shared" ca="1" si="18"/>
        <v>45202</v>
      </c>
      <c r="E86" s="110">
        <f t="shared" ca="1" si="17"/>
        <v>0</v>
      </c>
      <c r="F86" s="110">
        <f t="shared" ca="1" si="14"/>
        <v>0</v>
      </c>
      <c r="G86" s="110">
        <f t="shared" ca="1" si="14"/>
        <v>0</v>
      </c>
      <c r="H86" s="110">
        <f t="shared" ca="1" si="14"/>
        <v>0</v>
      </c>
      <c r="I86" s="110">
        <f t="shared" ca="1" si="14"/>
        <v>0</v>
      </c>
      <c r="J86" s="110">
        <f t="shared" ca="1" si="14"/>
        <v>0</v>
      </c>
      <c r="K86" s="110">
        <f t="shared" ca="1" si="14"/>
        <v>0</v>
      </c>
      <c r="L86" s="110">
        <f t="shared" ca="1" si="14"/>
        <v>0</v>
      </c>
      <c r="M86" s="110">
        <f t="shared" ca="1" si="14"/>
        <v>0</v>
      </c>
      <c r="N86" s="110">
        <f t="shared" ca="1" si="14"/>
        <v>0</v>
      </c>
      <c r="O86" s="110">
        <f t="shared" ca="1" si="14"/>
        <v>0</v>
      </c>
      <c r="P86" s="110">
        <f t="shared" ca="1" si="14"/>
        <v>0</v>
      </c>
      <c r="Q86" s="110">
        <f t="shared" ca="1" si="14"/>
        <v>0</v>
      </c>
      <c r="R86" s="110">
        <f t="shared" ca="1" si="14"/>
        <v>0</v>
      </c>
      <c r="S86" s="110">
        <f t="shared" ca="1" si="14"/>
        <v>0</v>
      </c>
      <c r="T86" s="110">
        <f t="shared" ca="1" si="14"/>
        <v>0</v>
      </c>
      <c r="U86" s="110">
        <f t="shared" ca="1" si="14"/>
        <v>0</v>
      </c>
      <c r="V86" s="110">
        <f t="shared" ca="1" si="15"/>
        <v>0</v>
      </c>
      <c r="W86" s="110">
        <f t="shared" ca="1" si="15"/>
        <v>0</v>
      </c>
      <c r="X86" s="110">
        <f t="shared" ca="1" si="15"/>
        <v>0</v>
      </c>
      <c r="Y86" s="110">
        <f t="shared" ca="1" si="15"/>
        <v>0</v>
      </c>
      <c r="Z86" s="110">
        <f t="shared" ca="1" si="15"/>
        <v>0</v>
      </c>
      <c r="AA86" s="110">
        <f t="shared" ca="1" si="15"/>
        <v>0</v>
      </c>
      <c r="AB86" s="110">
        <f t="shared" ca="1" si="15"/>
        <v>0</v>
      </c>
      <c r="AC86" s="110">
        <f t="shared" ca="1" si="15"/>
        <v>0</v>
      </c>
      <c r="AD86" s="110">
        <f t="shared" ca="1" si="15"/>
        <v>0</v>
      </c>
      <c r="AE86" s="110">
        <f t="shared" ca="1" si="15"/>
        <v>0</v>
      </c>
      <c r="AF86" s="110">
        <f t="shared" ca="1" si="15"/>
        <v>0</v>
      </c>
      <c r="AG86" s="110">
        <f t="shared" ca="1" si="15"/>
        <v>0</v>
      </c>
      <c r="AH86" s="110">
        <f t="shared" ca="1" si="15"/>
        <v>0</v>
      </c>
      <c r="AI86" s="110">
        <f t="shared" ca="1" si="15"/>
        <v>0</v>
      </c>
      <c r="AJ86" s="110">
        <f t="shared" ca="1" si="15"/>
        <v>0</v>
      </c>
      <c r="AK86" s="110">
        <f t="shared" ca="1" si="15"/>
        <v>0</v>
      </c>
      <c r="AL86" s="110">
        <f t="shared" ca="1" si="16"/>
        <v>0</v>
      </c>
      <c r="AM86" s="110">
        <f t="shared" ca="1" si="16"/>
        <v>0</v>
      </c>
      <c r="AN86" s="110">
        <f t="shared" ca="1" si="16"/>
        <v>0</v>
      </c>
      <c r="AO86" s="110">
        <f t="shared" ca="1" si="16"/>
        <v>0</v>
      </c>
    </row>
    <row r="87" spans="2:41">
      <c r="D87" s="106">
        <f t="shared" ca="1" si="18"/>
        <v>45203</v>
      </c>
      <c r="E87" s="110">
        <f t="shared" ca="1" si="17"/>
        <v>0</v>
      </c>
      <c r="F87" s="110">
        <f t="shared" ca="1" si="14"/>
        <v>0</v>
      </c>
      <c r="G87" s="110">
        <f t="shared" ca="1" si="14"/>
        <v>0</v>
      </c>
      <c r="H87" s="110">
        <f t="shared" ca="1" si="14"/>
        <v>0</v>
      </c>
      <c r="I87" s="110">
        <f t="shared" ca="1" si="14"/>
        <v>0</v>
      </c>
      <c r="J87" s="110">
        <f t="shared" ca="1" si="14"/>
        <v>0</v>
      </c>
      <c r="K87" s="110">
        <f t="shared" ca="1" si="14"/>
        <v>0</v>
      </c>
      <c r="L87" s="110">
        <f t="shared" ca="1" si="14"/>
        <v>0</v>
      </c>
      <c r="M87" s="110">
        <f t="shared" ca="1" si="14"/>
        <v>0</v>
      </c>
      <c r="N87" s="110">
        <f t="shared" ca="1" si="14"/>
        <v>0</v>
      </c>
      <c r="O87" s="110">
        <f t="shared" ca="1" si="14"/>
        <v>0</v>
      </c>
      <c r="P87" s="110">
        <f t="shared" ca="1" si="14"/>
        <v>0</v>
      </c>
      <c r="Q87" s="110">
        <f t="shared" ca="1" si="14"/>
        <v>0</v>
      </c>
      <c r="R87" s="110">
        <f t="shared" ca="1" si="14"/>
        <v>0</v>
      </c>
      <c r="S87" s="110">
        <f t="shared" ca="1" si="14"/>
        <v>0</v>
      </c>
      <c r="T87" s="110">
        <f t="shared" ca="1" si="14"/>
        <v>0</v>
      </c>
      <c r="U87" s="110">
        <f t="shared" ca="1" si="14"/>
        <v>0</v>
      </c>
      <c r="V87" s="110">
        <f t="shared" ca="1" si="15"/>
        <v>0</v>
      </c>
      <c r="W87" s="110">
        <f t="shared" ca="1" si="15"/>
        <v>0</v>
      </c>
      <c r="X87" s="110">
        <f t="shared" ca="1" si="15"/>
        <v>0</v>
      </c>
      <c r="Y87" s="110">
        <f t="shared" ca="1" si="15"/>
        <v>0</v>
      </c>
      <c r="Z87" s="110">
        <f t="shared" ca="1" si="15"/>
        <v>0</v>
      </c>
      <c r="AA87" s="110">
        <f t="shared" ca="1" si="15"/>
        <v>0</v>
      </c>
      <c r="AB87" s="110">
        <f t="shared" ca="1" si="15"/>
        <v>0</v>
      </c>
      <c r="AC87" s="110">
        <f t="shared" ca="1" si="15"/>
        <v>0</v>
      </c>
      <c r="AD87" s="110">
        <f t="shared" ca="1" si="15"/>
        <v>0</v>
      </c>
      <c r="AE87" s="110">
        <f t="shared" ca="1" si="15"/>
        <v>0</v>
      </c>
      <c r="AF87" s="110">
        <f t="shared" ca="1" si="15"/>
        <v>0</v>
      </c>
      <c r="AG87" s="110">
        <f t="shared" ca="1" si="15"/>
        <v>0</v>
      </c>
      <c r="AH87" s="110">
        <f t="shared" ca="1" si="15"/>
        <v>0</v>
      </c>
      <c r="AI87" s="110">
        <f t="shared" ca="1" si="15"/>
        <v>0</v>
      </c>
      <c r="AJ87" s="110">
        <f t="shared" ca="1" si="15"/>
        <v>0</v>
      </c>
      <c r="AK87" s="110">
        <f t="shared" ca="1" si="15"/>
        <v>0</v>
      </c>
      <c r="AL87" s="110">
        <f t="shared" ca="1" si="16"/>
        <v>0</v>
      </c>
      <c r="AM87" s="110">
        <f t="shared" ca="1" si="16"/>
        <v>0</v>
      </c>
      <c r="AN87" s="110">
        <f t="shared" ca="1" si="16"/>
        <v>0</v>
      </c>
      <c r="AO87" s="110">
        <f t="shared" ca="1" si="16"/>
        <v>0</v>
      </c>
    </row>
    <row r="88" spans="2:41">
      <c r="D88" s="106">
        <f t="shared" ca="1" si="18"/>
        <v>45204</v>
      </c>
      <c r="E88" s="110">
        <f t="shared" ca="1" si="17"/>
        <v>0</v>
      </c>
      <c r="F88" s="110">
        <f t="shared" ca="1" si="14"/>
        <v>0</v>
      </c>
      <c r="G88" s="110">
        <f t="shared" ca="1" si="14"/>
        <v>0</v>
      </c>
      <c r="H88" s="110">
        <f t="shared" ca="1" si="14"/>
        <v>0</v>
      </c>
      <c r="I88" s="110">
        <f t="shared" ca="1" si="14"/>
        <v>0</v>
      </c>
      <c r="J88" s="110">
        <f t="shared" ca="1" si="14"/>
        <v>0</v>
      </c>
      <c r="K88" s="110">
        <f t="shared" ca="1" si="14"/>
        <v>0</v>
      </c>
      <c r="L88" s="110">
        <f t="shared" ca="1" si="14"/>
        <v>0</v>
      </c>
      <c r="M88" s="110">
        <f t="shared" ca="1" si="14"/>
        <v>0</v>
      </c>
      <c r="N88" s="110">
        <f t="shared" ca="1" si="14"/>
        <v>0</v>
      </c>
      <c r="O88" s="110">
        <f t="shared" ca="1" si="14"/>
        <v>0</v>
      </c>
      <c r="P88" s="110">
        <f t="shared" ca="1" si="14"/>
        <v>0</v>
      </c>
      <c r="Q88" s="110">
        <f t="shared" ca="1" si="14"/>
        <v>0</v>
      </c>
      <c r="R88" s="110">
        <f t="shared" ca="1" si="14"/>
        <v>0</v>
      </c>
      <c r="S88" s="110">
        <f t="shared" ca="1" si="14"/>
        <v>0</v>
      </c>
      <c r="T88" s="110">
        <f t="shared" ca="1" si="14"/>
        <v>0</v>
      </c>
      <c r="U88" s="110">
        <f t="shared" ca="1" si="14"/>
        <v>0</v>
      </c>
      <c r="V88" s="110">
        <f t="shared" ca="1" si="15"/>
        <v>0</v>
      </c>
      <c r="W88" s="110">
        <f t="shared" ca="1" si="15"/>
        <v>0</v>
      </c>
      <c r="X88" s="110">
        <f t="shared" ca="1" si="15"/>
        <v>0</v>
      </c>
      <c r="Y88" s="110">
        <f t="shared" ca="1" si="15"/>
        <v>0</v>
      </c>
      <c r="Z88" s="110">
        <f t="shared" ca="1" si="15"/>
        <v>0</v>
      </c>
      <c r="AA88" s="110">
        <f t="shared" ca="1" si="15"/>
        <v>0</v>
      </c>
      <c r="AB88" s="110">
        <f t="shared" ca="1" si="15"/>
        <v>0</v>
      </c>
      <c r="AC88" s="110">
        <f t="shared" ca="1" si="15"/>
        <v>0</v>
      </c>
      <c r="AD88" s="110">
        <f t="shared" ca="1" si="15"/>
        <v>0</v>
      </c>
      <c r="AE88" s="110">
        <f t="shared" ca="1" si="15"/>
        <v>0</v>
      </c>
      <c r="AF88" s="110">
        <f t="shared" ca="1" si="15"/>
        <v>0</v>
      </c>
      <c r="AG88" s="110">
        <f t="shared" ca="1" si="15"/>
        <v>0</v>
      </c>
      <c r="AH88" s="110">
        <f t="shared" ca="1" si="15"/>
        <v>0</v>
      </c>
      <c r="AI88" s="110">
        <f t="shared" ca="1" si="15"/>
        <v>0</v>
      </c>
      <c r="AJ88" s="110">
        <f t="shared" ca="1" si="15"/>
        <v>0</v>
      </c>
      <c r="AK88" s="110">
        <f t="shared" ca="1" si="15"/>
        <v>0</v>
      </c>
      <c r="AL88" s="110">
        <f t="shared" ca="1" si="16"/>
        <v>0</v>
      </c>
      <c r="AM88" s="110">
        <f t="shared" ca="1" si="16"/>
        <v>0</v>
      </c>
      <c r="AN88" s="110">
        <f t="shared" ca="1" si="16"/>
        <v>0</v>
      </c>
      <c r="AO88" s="110">
        <f t="shared" ca="1" si="16"/>
        <v>0</v>
      </c>
    </row>
    <row r="89" spans="2:41">
      <c r="D89" s="106">
        <f t="shared" ca="1" si="18"/>
        <v>45205</v>
      </c>
      <c r="E89" s="110">
        <f t="shared" ca="1" si="17"/>
        <v>0</v>
      </c>
      <c r="F89" s="110">
        <f t="shared" ca="1" si="14"/>
        <v>0</v>
      </c>
      <c r="G89" s="110">
        <f t="shared" ca="1" si="14"/>
        <v>0</v>
      </c>
      <c r="H89" s="110">
        <f t="shared" ca="1" si="14"/>
        <v>0</v>
      </c>
      <c r="I89" s="110">
        <f t="shared" ca="1" si="14"/>
        <v>0</v>
      </c>
      <c r="J89" s="110">
        <f t="shared" ca="1" si="14"/>
        <v>0</v>
      </c>
      <c r="K89" s="110">
        <f t="shared" ca="1" si="14"/>
        <v>0</v>
      </c>
      <c r="L89" s="110">
        <f t="shared" ca="1" si="14"/>
        <v>0</v>
      </c>
      <c r="M89" s="110">
        <f t="shared" ca="1" si="14"/>
        <v>0</v>
      </c>
      <c r="N89" s="110">
        <f t="shared" ca="1" si="14"/>
        <v>0</v>
      </c>
      <c r="O89" s="110">
        <f t="shared" ca="1" si="14"/>
        <v>0</v>
      </c>
      <c r="P89" s="110">
        <f t="shared" ca="1" si="14"/>
        <v>0</v>
      </c>
      <c r="Q89" s="110">
        <f t="shared" ca="1" si="14"/>
        <v>0</v>
      </c>
      <c r="R89" s="110">
        <f t="shared" ca="1" si="14"/>
        <v>0</v>
      </c>
      <c r="S89" s="110">
        <f t="shared" ca="1" si="14"/>
        <v>0</v>
      </c>
      <c r="T89" s="110">
        <f t="shared" ca="1" si="14"/>
        <v>0</v>
      </c>
      <c r="U89" s="110">
        <f t="shared" ref="U89:AJ104" ca="1" si="19">IFERROR((OptionPrice(LEFT($C$79),U$72,$C$74,($C$75-$D89+1)/365,$C$76,$C$78,$C$77)-$C$80)*$C$81,0)</f>
        <v>0</v>
      </c>
      <c r="V89" s="110">
        <f t="shared" ca="1" si="15"/>
        <v>0</v>
      </c>
      <c r="W89" s="110">
        <f t="shared" ca="1" si="15"/>
        <v>0</v>
      </c>
      <c r="X89" s="110">
        <f t="shared" ca="1" si="15"/>
        <v>0</v>
      </c>
      <c r="Y89" s="110">
        <f t="shared" ca="1" si="15"/>
        <v>0</v>
      </c>
      <c r="Z89" s="110">
        <f t="shared" ca="1" si="15"/>
        <v>0</v>
      </c>
      <c r="AA89" s="110">
        <f t="shared" ca="1" si="15"/>
        <v>0</v>
      </c>
      <c r="AB89" s="110">
        <f t="shared" ca="1" si="15"/>
        <v>0</v>
      </c>
      <c r="AC89" s="110">
        <f t="shared" ca="1" si="15"/>
        <v>0</v>
      </c>
      <c r="AD89" s="110">
        <f t="shared" ca="1" si="15"/>
        <v>0</v>
      </c>
      <c r="AE89" s="110">
        <f t="shared" ca="1" si="15"/>
        <v>0</v>
      </c>
      <c r="AF89" s="110">
        <f t="shared" ca="1" si="15"/>
        <v>0</v>
      </c>
      <c r="AG89" s="110">
        <f t="shared" ca="1" si="15"/>
        <v>0</v>
      </c>
      <c r="AH89" s="110">
        <f t="shared" ca="1" si="15"/>
        <v>0</v>
      </c>
      <c r="AI89" s="110">
        <f t="shared" ca="1" si="15"/>
        <v>0</v>
      </c>
      <c r="AJ89" s="110">
        <f t="shared" ca="1" si="15"/>
        <v>0</v>
      </c>
      <c r="AK89" s="110">
        <f t="shared" ref="AK89:AK104" ca="1" si="20">IFERROR((OptionPrice(LEFT($C$79),AK$72,$C$74,($C$75-$D89+1)/365,$C$76,$C$78,$C$77)-$C$80)*$C$81,0)</f>
        <v>0</v>
      </c>
      <c r="AL89" s="110">
        <f t="shared" ca="1" si="16"/>
        <v>0</v>
      </c>
      <c r="AM89" s="110">
        <f t="shared" ca="1" si="16"/>
        <v>0</v>
      </c>
      <c r="AN89" s="110">
        <f t="shared" ca="1" si="16"/>
        <v>0</v>
      </c>
      <c r="AO89" s="110">
        <f t="shared" ca="1" si="16"/>
        <v>0</v>
      </c>
    </row>
    <row r="90" spans="2:41">
      <c r="D90" s="106">
        <f t="shared" ca="1" si="18"/>
        <v>45208</v>
      </c>
      <c r="E90" s="110">
        <f t="shared" ca="1" si="17"/>
        <v>0</v>
      </c>
      <c r="F90" s="110">
        <f t="shared" ca="1" si="17"/>
        <v>0</v>
      </c>
      <c r="G90" s="110">
        <f t="shared" ca="1" si="17"/>
        <v>0</v>
      </c>
      <c r="H90" s="110">
        <f t="shared" ca="1" si="17"/>
        <v>0</v>
      </c>
      <c r="I90" s="110">
        <f t="shared" ca="1" si="17"/>
        <v>0</v>
      </c>
      <c r="J90" s="110">
        <f t="shared" ca="1" si="17"/>
        <v>0</v>
      </c>
      <c r="K90" s="110">
        <f t="shared" ca="1" si="17"/>
        <v>0</v>
      </c>
      <c r="L90" s="110">
        <f t="shared" ca="1" si="17"/>
        <v>0</v>
      </c>
      <c r="M90" s="110">
        <f t="shared" ca="1" si="17"/>
        <v>0</v>
      </c>
      <c r="N90" s="110">
        <f t="shared" ca="1" si="17"/>
        <v>0</v>
      </c>
      <c r="O90" s="110">
        <f t="shared" ca="1" si="17"/>
        <v>0</v>
      </c>
      <c r="P90" s="110">
        <f t="shared" ca="1" si="17"/>
        <v>0</v>
      </c>
      <c r="Q90" s="110">
        <f t="shared" ca="1" si="17"/>
        <v>0</v>
      </c>
      <c r="R90" s="110">
        <f t="shared" ca="1" si="17"/>
        <v>0</v>
      </c>
      <c r="S90" s="110">
        <f t="shared" ca="1" si="17"/>
        <v>0</v>
      </c>
      <c r="T90" s="110">
        <f t="shared" ca="1" si="17"/>
        <v>0</v>
      </c>
      <c r="U90" s="110">
        <f t="shared" ca="1" si="19"/>
        <v>0</v>
      </c>
      <c r="V90" s="110">
        <f t="shared" ca="1" si="19"/>
        <v>0</v>
      </c>
      <c r="W90" s="110">
        <f t="shared" ca="1" si="19"/>
        <v>0</v>
      </c>
      <c r="X90" s="110">
        <f t="shared" ca="1" si="19"/>
        <v>0</v>
      </c>
      <c r="Y90" s="110">
        <f t="shared" ca="1" si="19"/>
        <v>0</v>
      </c>
      <c r="Z90" s="110">
        <f t="shared" ca="1" si="19"/>
        <v>0</v>
      </c>
      <c r="AA90" s="110">
        <f t="shared" ca="1" si="19"/>
        <v>0</v>
      </c>
      <c r="AB90" s="110">
        <f t="shared" ca="1" si="19"/>
        <v>0</v>
      </c>
      <c r="AC90" s="110">
        <f t="shared" ca="1" si="19"/>
        <v>0</v>
      </c>
      <c r="AD90" s="110">
        <f t="shared" ca="1" si="19"/>
        <v>0</v>
      </c>
      <c r="AE90" s="110">
        <f t="shared" ca="1" si="19"/>
        <v>0</v>
      </c>
      <c r="AF90" s="110">
        <f t="shared" ca="1" si="19"/>
        <v>0</v>
      </c>
      <c r="AG90" s="110">
        <f t="shared" ca="1" si="19"/>
        <v>0</v>
      </c>
      <c r="AH90" s="110">
        <f t="shared" ca="1" si="19"/>
        <v>0</v>
      </c>
      <c r="AI90" s="110">
        <f t="shared" ca="1" si="19"/>
        <v>0</v>
      </c>
      <c r="AJ90" s="110">
        <f t="shared" ca="1" si="19"/>
        <v>0</v>
      </c>
      <c r="AK90" s="110">
        <f t="shared" ca="1" si="20"/>
        <v>0</v>
      </c>
      <c r="AL90" s="110">
        <f t="shared" ca="1" si="16"/>
        <v>0</v>
      </c>
      <c r="AM90" s="110">
        <f t="shared" ca="1" si="16"/>
        <v>0</v>
      </c>
      <c r="AN90" s="110">
        <f t="shared" ca="1" si="16"/>
        <v>0</v>
      </c>
      <c r="AO90" s="110">
        <f t="shared" ca="1" si="16"/>
        <v>0</v>
      </c>
    </row>
    <row r="91" spans="2:41">
      <c r="D91" s="106">
        <f t="shared" ca="1" si="18"/>
        <v>45209</v>
      </c>
      <c r="E91" s="110">
        <f t="shared" ref="E91:T105" ca="1" si="21">IFERROR((OptionPrice(LEFT($C$79),E$72,$C$74,($C$75-$D91+1)/365,$C$76,$C$78,$C$77)-$C$80)*$C$81,0)</f>
        <v>0</v>
      </c>
      <c r="F91" s="110">
        <f t="shared" ca="1" si="21"/>
        <v>0</v>
      </c>
      <c r="G91" s="110">
        <f t="shared" ca="1" si="21"/>
        <v>0</v>
      </c>
      <c r="H91" s="110">
        <f t="shared" ca="1" si="21"/>
        <v>0</v>
      </c>
      <c r="I91" s="110">
        <f t="shared" ca="1" si="21"/>
        <v>0</v>
      </c>
      <c r="J91" s="110">
        <f t="shared" ca="1" si="21"/>
        <v>0</v>
      </c>
      <c r="K91" s="110">
        <f t="shared" ca="1" si="21"/>
        <v>0</v>
      </c>
      <c r="L91" s="110">
        <f t="shared" ca="1" si="21"/>
        <v>0</v>
      </c>
      <c r="M91" s="110">
        <f t="shared" ca="1" si="21"/>
        <v>0</v>
      </c>
      <c r="N91" s="110">
        <f t="shared" ca="1" si="21"/>
        <v>0</v>
      </c>
      <c r="O91" s="110">
        <f t="shared" ca="1" si="21"/>
        <v>0</v>
      </c>
      <c r="P91" s="110">
        <f t="shared" ca="1" si="21"/>
        <v>0</v>
      </c>
      <c r="Q91" s="110">
        <f t="shared" ca="1" si="21"/>
        <v>0</v>
      </c>
      <c r="R91" s="110">
        <f t="shared" ca="1" si="21"/>
        <v>0</v>
      </c>
      <c r="S91" s="110">
        <f t="shared" ca="1" si="21"/>
        <v>0</v>
      </c>
      <c r="T91" s="110">
        <f t="shared" ca="1" si="21"/>
        <v>0</v>
      </c>
      <c r="U91" s="110">
        <f t="shared" ca="1" si="19"/>
        <v>0</v>
      </c>
      <c r="V91" s="110">
        <f t="shared" ca="1" si="19"/>
        <v>0</v>
      </c>
      <c r="W91" s="110">
        <f t="shared" ca="1" si="19"/>
        <v>0</v>
      </c>
      <c r="X91" s="110">
        <f t="shared" ca="1" si="19"/>
        <v>0</v>
      </c>
      <c r="Y91" s="110">
        <f t="shared" ca="1" si="19"/>
        <v>0</v>
      </c>
      <c r="Z91" s="110">
        <f t="shared" ca="1" si="19"/>
        <v>0</v>
      </c>
      <c r="AA91" s="110">
        <f t="shared" ca="1" si="19"/>
        <v>0</v>
      </c>
      <c r="AB91" s="110">
        <f t="shared" ca="1" si="19"/>
        <v>0</v>
      </c>
      <c r="AC91" s="110">
        <f t="shared" ca="1" si="19"/>
        <v>0</v>
      </c>
      <c r="AD91" s="110">
        <f t="shared" ca="1" si="19"/>
        <v>0</v>
      </c>
      <c r="AE91" s="110">
        <f t="shared" ca="1" si="19"/>
        <v>0</v>
      </c>
      <c r="AF91" s="110">
        <f t="shared" ca="1" si="19"/>
        <v>0</v>
      </c>
      <c r="AG91" s="110">
        <f t="shared" ca="1" si="19"/>
        <v>0</v>
      </c>
      <c r="AH91" s="110">
        <f t="shared" ca="1" si="19"/>
        <v>0</v>
      </c>
      <c r="AI91" s="110">
        <f t="shared" ca="1" si="19"/>
        <v>0</v>
      </c>
      <c r="AJ91" s="110">
        <f t="shared" ca="1" si="19"/>
        <v>0</v>
      </c>
      <c r="AK91" s="110">
        <f t="shared" ca="1" si="20"/>
        <v>0</v>
      </c>
      <c r="AL91" s="110">
        <f t="shared" ca="1" si="16"/>
        <v>0</v>
      </c>
      <c r="AM91" s="110">
        <f t="shared" ca="1" si="16"/>
        <v>0</v>
      </c>
      <c r="AN91" s="110">
        <f t="shared" ca="1" si="16"/>
        <v>0</v>
      </c>
      <c r="AO91" s="110">
        <f t="shared" ca="1" si="16"/>
        <v>0</v>
      </c>
    </row>
    <row r="92" spans="2:41">
      <c r="D92" s="106">
        <f t="shared" ca="1" si="18"/>
        <v>45210</v>
      </c>
      <c r="E92" s="110">
        <f t="shared" ca="1" si="21"/>
        <v>0</v>
      </c>
      <c r="F92" s="110">
        <f t="shared" ca="1" si="21"/>
        <v>0</v>
      </c>
      <c r="G92" s="110">
        <f t="shared" ca="1" si="21"/>
        <v>0</v>
      </c>
      <c r="H92" s="110">
        <f t="shared" ca="1" si="21"/>
        <v>0</v>
      </c>
      <c r="I92" s="110">
        <f t="shared" ca="1" si="21"/>
        <v>0</v>
      </c>
      <c r="J92" s="110">
        <f t="shared" ca="1" si="21"/>
        <v>0</v>
      </c>
      <c r="K92" s="110">
        <f t="shared" ca="1" si="21"/>
        <v>0</v>
      </c>
      <c r="L92" s="110">
        <f t="shared" ca="1" si="21"/>
        <v>0</v>
      </c>
      <c r="M92" s="110">
        <f t="shared" ca="1" si="21"/>
        <v>0</v>
      </c>
      <c r="N92" s="110">
        <f t="shared" ca="1" si="21"/>
        <v>0</v>
      </c>
      <c r="O92" s="110">
        <f t="shared" ca="1" si="21"/>
        <v>0</v>
      </c>
      <c r="P92" s="110">
        <f t="shared" ca="1" si="21"/>
        <v>0</v>
      </c>
      <c r="Q92" s="110">
        <f t="shared" ca="1" si="21"/>
        <v>0</v>
      </c>
      <c r="R92" s="110">
        <f t="shared" ca="1" si="21"/>
        <v>0</v>
      </c>
      <c r="S92" s="110">
        <f t="shared" ca="1" si="21"/>
        <v>0</v>
      </c>
      <c r="T92" s="110">
        <f t="shared" ca="1" si="21"/>
        <v>0</v>
      </c>
      <c r="U92" s="110">
        <f t="shared" ca="1" si="19"/>
        <v>0</v>
      </c>
      <c r="V92" s="110">
        <f t="shared" ca="1" si="19"/>
        <v>0</v>
      </c>
      <c r="W92" s="110">
        <f t="shared" ca="1" si="19"/>
        <v>0</v>
      </c>
      <c r="X92" s="110">
        <f t="shared" ca="1" si="19"/>
        <v>0</v>
      </c>
      <c r="Y92" s="110">
        <f t="shared" ca="1" si="19"/>
        <v>0</v>
      </c>
      <c r="Z92" s="110">
        <f t="shared" ca="1" si="19"/>
        <v>0</v>
      </c>
      <c r="AA92" s="110">
        <f t="shared" ca="1" si="19"/>
        <v>0</v>
      </c>
      <c r="AB92" s="110">
        <f t="shared" ca="1" si="19"/>
        <v>0</v>
      </c>
      <c r="AC92" s="110">
        <f t="shared" ca="1" si="19"/>
        <v>0</v>
      </c>
      <c r="AD92" s="110">
        <f t="shared" ca="1" si="19"/>
        <v>0</v>
      </c>
      <c r="AE92" s="110">
        <f t="shared" ca="1" si="19"/>
        <v>0</v>
      </c>
      <c r="AF92" s="110">
        <f t="shared" ca="1" si="19"/>
        <v>0</v>
      </c>
      <c r="AG92" s="110">
        <f t="shared" ca="1" si="19"/>
        <v>0</v>
      </c>
      <c r="AH92" s="110">
        <f t="shared" ca="1" si="19"/>
        <v>0</v>
      </c>
      <c r="AI92" s="110">
        <f t="shared" ca="1" si="19"/>
        <v>0</v>
      </c>
      <c r="AJ92" s="110">
        <f t="shared" ca="1" si="19"/>
        <v>0</v>
      </c>
      <c r="AK92" s="110">
        <f t="shared" ca="1" si="20"/>
        <v>0</v>
      </c>
      <c r="AL92" s="110">
        <f t="shared" ca="1" si="16"/>
        <v>0</v>
      </c>
      <c r="AM92" s="110">
        <f t="shared" ca="1" si="16"/>
        <v>0</v>
      </c>
      <c r="AN92" s="110">
        <f t="shared" ca="1" si="16"/>
        <v>0</v>
      </c>
      <c r="AO92" s="110">
        <f t="shared" ca="1" si="16"/>
        <v>0</v>
      </c>
    </row>
    <row r="93" spans="2:41">
      <c r="D93" s="106">
        <f t="shared" ca="1" si="18"/>
        <v>45211</v>
      </c>
      <c r="E93" s="110">
        <f t="shared" ca="1" si="21"/>
        <v>0</v>
      </c>
      <c r="F93" s="110">
        <f t="shared" ca="1" si="21"/>
        <v>0</v>
      </c>
      <c r="G93" s="110">
        <f t="shared" ca="1" si="21"/>
        <v>0</v>
      </c>
      <c r="H93" s="110">
        <f t="shared" ca="1" si="21"/>
        <v>0</v>
      </c>
      <c r="I93" s="110">
        <f t="shared" ca="1" si="21"/>
        <v>0</v>
      </c>
      <c r="J93" s="110">
        <f t="shared" ca="1" si="21"/>
        <v>0</v>
      </c>
      <c r="K93" s="110">
        <f t="shared" ca="1" si="21"/>
        <v>0</v>
      </c>
      <c r="L93" s="110">
        <f t="shared" ca="1" si="21"/>
        <v>0</v>
      </c>
      <c r="M93" s="110">
        <f t="shared" ca="1" si="21"/>
        <v>0</v>
      </c>
      <c r="N93" s="110">
        <f t="shared" ca="1" si="21"/>
        <v>0</v>
      </c>
      <c r="O93" s="110">
        <f t="shared" ca="1" si="21"/>
        <v>0</v>
      </c>
      <c r="P93" s="110">
        <f t="shared" ca="1" si="21"/>
        <v>0</v>
      </c>
      <c r="Q93" s="110">
        <f t="shared" ca="1" si="21"/>
        <v>0</v>
      </c>
      <c r="R93" s="110">
        <f t="shared" ca="1" si="21"/>
        <v>0</v>
      </c>
      <c r="S93" s="110">
        <f t="shared" ca="1" si="21"/>
        <v>0</v>
      </c>
      <c r="T93" s="110">
        <f t="shared" ca="1" si="21"/>
        <v>0</v>
      </c>
      <c r="U93" s="110">
        <f t="shared" ca="1" si="19"/>
        <v>0</v>
      </c>
      <c r="V93" s="110">
        <f t="shared" ca="1" si="19"/>
        <v>0</v>
      </c>
      <c r="W93" s="110">
        <f t="shared" ca="1" si="19"/>
        <v>0</v>
      </c>
      <c r="X93" s="110">
        <f t="shared" ca="1" si="19"/>
        <v>0</v>
      </c>
      <c r="Y93" s="110">
        <f t="shared" ca="1" si="19"/>
        <v>0</v>
      </c>
      <c r="Z93" s="110">
        <f t="shared" ca="1" si="19"/>
        <v>0</v>
      </c>
      <c r="AA93" s="110">
        <f t="shared" ca="1" si="19"/>
        <v>0</v>
      </c>
      <c r="AB93" s="110">
        <f t="shared" ca="1" si="19"/>
        <v>0</v>
      </c>
      <c r="AC93" s="110">
        <f t="shared" ca="1" si="19"/>
        <v>0</v>
      </c>
      <c r="AD93" s="110">
        <f t="shared" ca="1" si="19"/>
        <v>0</v>
      </c>
      <c r="AE93" s="110">
        <f t="shared" ca="1" si="19"/>
        <v>0</v>
      </c>
      <c r="AF93" s="110">
        <f t="shared" ca="1" si="19"/>
        <v>0</v>
      </c>
      <c r="AG93" s="110">
        <f t="shared" ca="1" si="19"/>
        <v>0</v>
      </c>
      <c r="AH93" s="110">
        <f t="shared" ca="1" si="19"/>
        <v>0</v>
      </c>
      <c r="AI93" s="110">
        <f t="shared" ca="1" si="19"/>
        <v>0</v>
      </c>
      <c r="AJ93" s="110">
        <f t="shared" ca="1" si="19"/>
        <v>0</v>
      </c>
      <c r="AK93" s="110">
        <f t="shared" ca="1" si="20"/>
        <v>0</v>
      </c>
      <c r="AL93" s="110">
        <f t="shared" ca="1" si="16"/>
        <v>0</v>
      </c>
      <c r="AM93" s="110">
        <f t="shared" ca="1" si="16"/>
        <v>0</v>
      </c>
      <c r="AN93" s="110">
        <f t="shared" ca="1" si="16"/>
        <v>0</v>
      </c>
      <c r="AO93" s="110">
        <f t="shared" ca="1" si="16"/>
        <v>0</v>
      </c>
    </row>
    <row r="94" spans="2:41">
      <c r="D94" s="106">
        <f t="shared" ca="1" si="18"/>
        <v>45212</v>
      </c>
      <c r="E94" s="110">
        <f t="shared" ca="1" si="21"/>
        <v>0</v>
      </c>
      <c r="F94" s="110">
        <f t="shared" ca="1" si="21"/>
        <v>0</v>
      </c>
      <c r="G94" s="110">
        <f t="shared" ca="1" si="21"/>
        <v>0</v>
      </c>
      <c r="H94" s="110">
        <f t="shared" ca="1" si="21"/>
        <v>0</v>
      </c>
      <c r="I94" s="110">
        <f t="shared" ca="1" si="21"/>
        <v>0</v>
      </c>
      <c r="J94" s="110">
        <f t="shared" ca="1" si="21"/>
        <v>0</v>
      </c>
      <c r="K94" s="110">
        <f t="shared" ca="1" si="21"/>
        <v>0</v>
      </c>
      <c r="L94" s="110">
        <f t="shared" ca="1" si="21"/>
        <v>0</v>
      </c>
      <c r="M94" s="110">
        <f t="shared" ca="1" si="21"/>
        <v>0</v>
      </c>
      <c r="N94" s="110">
        <f t="shared" ca="1" si="21"/>
        <v>0</v>
      </c>
      <c r="O94" s="110">
        <f t="shared" ca="1" si="21"/>
        <v>0</v>
      </c>
      <c r="P94" s="110">
        <f t="shared" ca="1" si="21"/>
        <v>0</v>
      </c>
      <c r="Q94" s="110">
        <f t="shared" ca="1" si="21"/>
        <v>0</v>
      </c>
      <c r="R94" s="110">
        <f t="shared" ca="1" si="21"/>
        <v>0</v>
      </c>
      <c r="S94" s="110">
        <f t="shared" ca="1" si="21"/>
        <v>0</v>
      </c>
      <c r="T94" s="110">
        <f t="shared" ca="1" si="21"/>
        <v>0</v>
      </c>
      <c r="U94" s="110">
        <f t="shared" ca="1" si="19"/>
        <v>0</v>
      </c>
      <c r="V94" s="110">
        <f t="shared" ca="1" si="19"/>
        <v>0</v>
      </c>
      <c r="W94" s="110">
        <f t="shared" ca="1" si="19"/>
        <v>0</v>
      </c>
      <c r="X94" s="110">
        <f t="shared" ca="1" si="19"/>
        <v>0</v>
      </c>
      <c r="Y94" s="110">
        <f t="shared" ca="1" si="19"/>
        <v>0</v>
      </c>
      <c r="Z94" s="110">
        <f t="shared" ca="1" si="19"/>
        <v>0</v>
      </c>
      <c r="AA94" s="110">
        <f t="shared" ca="1" si="19"/>
        <v>0</v>
      </c>
      <c r="AB94" s="110">
        <f t="shared" ca="1" si="19"/>
        <v>0</v>
      </c>
      <c r="AC94" s="110">
        <f t="shared" ca="1" si="19"/>
        <v>0</v>
      </c>
      <c r="AD94" s="110">
        <f t="shared" ca="1" si="19"/>
        <v>0</v>
      </c>
      <c r="AE94" s="110">
        <f t="shared" ca="1" si="19"/>
        <v>0</v>
      </c>
      <c r="AF94" s="110">
        <f t="shared" ca="1" si="19"/>
        <v>0</v>
      </c>
      <c r="AG94" s="110">
        <f t="shared" ca="1" si="19"/>
        <v>0</v>
      </c>
      <c r="AH94" s="110">
        <f t="shared" ca="1" si="19"/>
        <v>0</v>
      </c>
      <c r="AI94" s="110">
        <f t="shared" ca="1" si="19"/>
        <v>0</v>
      </c>
      <c r="AJ94" s="110">
        <f t="shared" ca="1" si="19"/>
        <v>0</v>
      </c>
      <c r="AK94" s="110">
        <f t="shared" ca="1" si="20"/>
        <v>0</v>
      </c>
      <c r="AL94" s="110">
        <f t="shared" ca="1" si="16"/>
        <v>0</v>
      </c>
      <c r="AM94" s="110">
        <f t="shared" ca="1" si="16"/>
        <v>0</v>
      </c>
      <c r="AN94" s="110">
        <f t="shared" ca="1" si="16"/>
        <v>0</v>
      </c>
      <c r="AO94" s="110">
        <f t="shared" ca="1" si="16"/>
        <v>0</v>
      </c>
    </row>
    <row r="95" spans="2:41">
      <c r="D95" s="106">
        <f t="shared" ca="1" si="18"/>
        <v>45215</v>
      </c>
      <c r="E95" s="110">
        <f t="shared" ca="1" si="21"/>
        <v>0</v>
      </c>
      <c r="F95" s="110">
        <f t="shared" ca="1" si="21"/>
        <v>0</v>
      </c>
      <c r="G95" s="110">
        <f t="shared" ca="1" si="21"/>
        <v>0</v>
      </c>
      <c r="H95" s="110">
        <f t="shared" ca="1" si="21"/>
        <v>0</v>
      </c>
      <c r="I95" s="110">
        <f t="shared" ca="1" si="21"/>
        <v>0</v>
      </c>
      <c r="J95" s="110">
        <f t="shared" ca="1" si="21"/>
        <v>0</v>
      </c>
      <c r="K95" s="110">
        <f t="shared" ca="1" si="21"/>
        <v>0</v>
      </c>
      <c r="L95" s="110">
        <f t="shared" ca="1" si="21"/>
        <v>0</v>
      </c>
      <c r="M95" s="110">
        <f t="shared" ca="1" si="21"/>
        <v>0</v>
      </c>
      <c r="N95" s="110">
        <f t="shared" ca="1" si="21"/>
        <v>0</v>
      </c>
      <c r="O95" s="110">
        <f t="shared" ca="1" si="21"/>
        <v>0</v>
      </c>
      <c r="P95" s="110">
        <f t="shared" ca="1" si="21"/>
        <v>0</v>
      </c>
      <c r="Q95" s="110">
        <f t="shared" ca="1" si="21"/>
        <v>0</v>
      </c>
      <c r="R95" s="110">
        <f t="shared" ca="1" si="21"/>
        <v>0</v>
      </c>
      <c r="S95" s="110">
        <f t="shared" ca="1" si="21"/>
        <v>0</v>
      </c>
      <c r="T95" s="110">
        <f t="shared" ca="1" si="21"/>
        <v>0</v>
      </c>
      <c r="U95" s="110">
        <f t="shared" ca="1" si="19"/>
        <v>0</v>
      </c>
      <c r="V95" s="110">
        <f t="shared" ca="1" si="19"/>
        <v>0</v>
      </c>
      <c r="W95" s="110">
        <f t="shared" ca="1" si="19"/>
        <v>0</v>
      </c>
      <c r="X95" s="110">
        <f t="shared" ca="1" si="19"/>
        <v>0</v>
      </c>
      <c r="Y95" s="110">
        <f t="shared" ca="1" si="19"/>
        <v>0</v>
      </c>
      <c r="Z95" s="110">
        <f t="shared" ca="1" si="19"/>
        <v>0</v>
      </c>
      <c r="AA95" s="110">
        <f t="shared" ca="1" si="19"/>
        <v>0</v>
      </c>
      <c r="AB95" s="110">
        <f t="shared" ca="1" si="19"/>
        <v>0</v>
      </c>
      <c r="AC95" s="110">
        <f t="shared" ca="1" si="19"/>
        <v>0</v>
      </c>
      <c r="AD95" s="110">
        <f t="shared" ca="1" si="19"/>
        <v>0</v>
      </c>
      <c r="AE95" s="110">
        <f t="shared" ca="1" si="19"/>
        <v>0</v>
      </c>
      <c r="AF95" s="110">
        <f t="shared" ca="1" si="19"/>
        <v>0</v>
      </c>
      <c r="AG95" s="110">
        <f t="shared" ca="1" si="19"/>
        <v>0</v>
      </c>
      <c r="AH95" s="110">
        <f t="shared" ca="1" si="19"/>
        <v>0</v>
      </c>
      <c r="AI95" s="110">
        <f t="shared" ca="1" si="19"/>
        <v>0</v>
      </c>
      <c r="AJ95" s="110">
        <f t="shared" ca="1" si="19"/>
        <v>0</v>
      </c>
      <c r="AK95" s="110">
        <f t="shared" ca="1" si="20"/>
        <v>0</v>
      </c>
      <c r="AL95" s="110">
        <f t="shared" ca="1" si="16"/>
        <v>0</v>
      </c>
      <c r="AM95" s="110">
        <f t="shared" ca="1" si="16"/>
        <v>0</v>
      </c>
      <c r="AN95" s="110">
        <f t="shared" ca="1" si="16"/>
        <v>0</v>
      </c>
      <c r="AO95" s="110">
        <f t="shared" ca="1" si="16"/>
        <v>0</v>
      </c>
    </row>
    <row r="96" spans="2:41">
      <c r="D96" s="106">
        <f t="shared" ca="1" si="18"/>
        <v>45216</v>
      </c>
      <c r="E96" s="110">
        <f t="shared" ca="1" si="21"/>
        <v>0</v>
      </c>
      <c r="F96" s="110">
        <f t="shared" ca="1" si="21"/>
        <v>0</v>
      </c>
      <c r="G96" s="110">
        <f t="shared" ca="1" si="21"/>
        <v>0</v>
      </c>
      <c r="H96" s="110">
        <f t="shared" ca="1" si="21"/>
        <v>0</v>
      </c>
      <c r="I96" s="110">
        <f t="shared" ca="1" si="21"/>
        <v>0</v>
      </c>
      <c r="J96" s="110">
        <f t="shared" ca="1" si="21"/>
        <v>0</v>
      </c>
      <c r="K96" s="110">
        <f t="shared" ca="1" si="21"/>
        <v>0</v>
      </c>
      <c r="L96" s="110">
        <f t="shared" ca="1" si="21"/>
        <v>0</v>
      </c>
      <c r="M96" s="110">
        <f t="shared" ca="1" si="21"/>
        <v>0</v>
      </c>
      <c r="N96" s="110">
        <f t="shared" ca="1" si="21"/>
        <v>0</v>
      </c>
      <c r="O96" s="110">
        <f t="shared" ca="1" si="21"/>
        <v>0</v>
      </c>
      <c r="P96" s="110">
        <f t="shared" ca="1" si="21"/>
        <v>0</v>
      </c>
      <c r="Q96" s="110">
        <f t="shared" ca="1" si="21"/>
        <v>0</v>
      </c>
      <c r="R96" s="110">
        <f t="shared" ca="1" si="21"/>
        <v>0</v>
      </c>
      <c r="S96" s="110">
        <f t="shared" ca="1" si="21"/>
        <v>0</v>
      </c>
      <c r="T96" s="110">
        <f t="shared" ca="1" si="21"/>
        <v>0</v>
      </c>
      <c r="U96" s="110">
        <f t="shared" ca="1" si="19"/>
        <v>0</v>
      </c>
      <c r="V96" s="110">
        <f t="shared" ca="1" si="19"/>
        <v>0</v>
      </c>
      <c r="W96" s="110">
        <f t="shared" ca="1" si="19"/>
        <v>0</v>
      </c>
      <c r="X96" s="110">
        <f t="shared" ca="1" si="19"/>
        <v>0</v>
      </c>
      <c r="Y96" s="110">
        <f t="shared" ca="1" si="19"/>
        <v>0</v>
      </c>
      <c r="Z96" s="110">
        <f t="shared" ca="1" si="19"/>
        <v>0</v>
      </c>
      <c r="AA96" s="110">
        <f t="shared" ca="1" si="19"/>
        <v>0</v>
      </c>
      <c r="AB96" s="110">
        <f t="shared" ca="1" si="19"/>
        <v>0</v>
      </c>
      <c r="AC96" s="110">
        <f t="shared" ca="1" si="19"/>
        <v>0</v>
      </c>
      <c r="AD96" s="110">
        <f t="shared" ca="1" si="19"/>
        <v>0</v>
      </c>
      <c r="AE96" s="110">
        <f t="shared" ca="1" si="19"/>
        <v>0</v>
      </c>
      <c r="AF96" s="110">
        <f t="shared" ca="1" si="19"/>
        <v>0</v>
      </c>
      <c r="AG96" s="110">
        <f t="shared" ca="1" si="19"/>
        <v>0</v>
      </c>
      <c r="AH96" s="110">
        <f t="shared" ca="1" si="19"/>
        <v>0</v>
      </c>
      <c r="AI96" s="110">
        <f t="shared" ca="1" si="19"/>
        <v>0</v>
      </c>
      <c r="AJ96" s="110">
        <f t="shared" ca="1" si="19"/>
        <v>0</v>
      </c>
      <c r="AK96" s="110">
        <f t="shared" ca="1" si="20"/>
        <v>0</v>
      </c>
      <c r="AL96" s="110">
        <f t="shared" ca="1" si="16"/>
        <v>0</v>
      </c>
      <c r="AM96" s="110">
        <f t="shared" ca="1" si="16"/>
        <v>0</v>
      </c>
      <c r="AN96" s="110">
        <f t="shared" ca="1" si="16"/>
        <v>0</v>
      </c>
      <c r="AO96" s="110">
        <f t="shared" ca="1" si="16"/>
        <v>0</v>
      </c>
    </row>
    <row r="97" spans="3:41">
      <c r="D97" s="106">
        <f t="shared" ca="1" si="18"/>
        <v>45217</v>
      </c>
      <c r="E97" s="110">
        <f t="shared" ca="1" si="21"/>
        <v>0</v>
      </c>
      <c r="F97" s="110">
        <f t="shared" ca="1" si="21"/>
        <v>0</v>
      </c>
      <c r="G97" s="110">
        <f t="shared" ca="1" si="21"/>
        <v>0</v>
      </c>
      <c r="H97" s="110">
        <f t="shared" ca="1" si="21"/>
        <v>0</v>
      </c>
      <c r="I97" s="110">
        <f t="shared" ca="1" si="21"/>
        <v>0</v>
      </c>
      <c r="J97" s="110">
        <f t="shared" ca="1" si="21"/>
        <v>0</v>
      </c>
      <c r="K97" s="110">
        <f t="shared" ca="1" si="21"/>
        <v>0</v>
      </c>
      <c r="L97" s="110">
        <f t="shared" ca="1" si="21"/>
        <v>0</v>
      </c>
      <c r="M97" s="110">
        <f t="shared" ca="1" si="21"/>
        <v>0</v>
      </c>
      <c r="N97" s="110">
        <f t="shared" ca="1" si="21"/>
        <v>0</v>
      </c>
      <c r="O97" s="110">
        <f t="shared" ca="1" si="21"/>
        <v>0</v>
      </c>
      <c r="P97" s="110">
        <f t="shared" ca="1" si="21"/>
        <v>0</v>
      </c>
      <c r="Q97" s="110">
        <f t="shared" ca="1" si="21"/>
        <v>0</v>
      </c>
      <c r="R97" s="110">
        <f t="shared" ca="1" si="21"/>
        <v>0</v>
      </c>
      <c r="S97" s="110">
        <f t="shared" ca="1" si="21"/>
        <v>0</v>
      </c>
      <c r="T97" s="110">
        <f t="shared" ca="1" si="21"/>
        <v>0</v>
      </c>
      <c r="U97" s="110">
        <f t="shared" ca="1" si="19"/>
        <v>0</v>
      </c>
      <c r="V97" s="110">
        <f t="shared" ca="1" si="19"/>
        <v>0</v>
      </c>
      <c r="W97" s="110">
        <f t="shared" ca="1" si="19"/>
        <v>0</v>
      </c>
      <c r="X97" s="110">
        <f t="shared" ca="1" si="19"/>
        <v>0</v>
      </c>
      <c r="Y97" s="110">
        <f t="shared" ca="1" si="19"/>
        <v>0</v>
      </c>
      <c r="Z97" s="110">
        <f t="shared" ca="1" si="19"/>
        <v>0</v>
      </c>
      <c r="AA97" s="110">
        <f t="shared" ca="1" si="19"/>
        <v>0</v>
      </c>
      <c r="AB97" s="110">
        <f t="shared" ca="1" si="19"/>
        <v>0</v>
      </c>
      <c r="AC97" s="110">
        <f t="shared" ca="1" si="19"/>
        <v>0</v>
      </c>
      <c r="AD97" s="110">
        <f t="shared" ca="1" si="19"/>
        <v>0</v>
      </c>
      <c r="AE97" s="110">
        <f t="shared" ca="1" si="19"/>
        <v>0</v>
      </c>
      <c r="AF97" s="110">
        <f t="shared" ca="1" si="19"/>
        <v>0</v>
      </c>
      <c r="AG97" s="110">
        <f t="shared" ca="1" si="19"/>
        <v>0</v>
      </c>
      <c r="AH97" s="110">
        <f t="shared" ca="1" si="19"/>
        <v>0</v>
      </c>
      <c r="AI97" s="110">
        <f t="shared" ca="1" si="19"/>
        <v>0</v>
      </c>
      <c r="AJ97" s="110">
        <f t="shared" ca="1" si="19"/>
        <v>0</v>
      </c>
      <c r="AK97" s="110">
        <f t="shared" ca="1" si="20"/>
        <v>0</v>
      </c>
      <c r="AL97" s="110">
        <f t="shared" ca="1" si="16"/>
        <v>0</v>
      </c>
      <c r="AM97" s="110">
        <f t="shared" ca="1" si="16"/>
        <v>0</v>
      </c>
      <c r="AN97" s="110">
        <f t="shared" ca="1" si="16"/>
        <v>0</v>
      </c>
      <c r="AO97" s="110">
        <f t="shared" ca="1" si="16"/>
        <v>0</v>
      </c>
    </row>
    <row r="98" spans="3:41">
      <c r="D98" s="106">
        <f t="shared" ca="1" si="18"/>
        <v>45218</v>
      </c>
      <c r="E98" s="110">
        <f t="shared" ca="1" si="21"/>
        <v>0</v>
      </c>
      <c r="F98" s="110">
        <f t="shared" ca="1" si="21"/>
        <v>0</v>
      </c>
      <c r="G98" s="110">
        <f t="shared" ca="1" si="21"/>
        <v>0</v>
      </c>
      <c r="H98" s="110">
        <f t="shared" ca="1" si="21"/>
        <v>0</v>
      </c>
      <c r="I98" s="110">
        <f t="shared" ca="1" si="21"/>
        <v>0</v>
      </c>
      <c r="J98" s="110">
        <f t="shared" ca="1" si="21"/>
        <v>0</v>
      </c>
      <c r="K98" s="110">
        <f t="shared" ca="1" si="21"/>
        <v>0</v>
      </c>
      <c r="L98" s="110">
        <f t="shared" ca="1" si="21"/>
        <v>0</v>
      </c>
      <c r="M98" s="110">
        <f t="shared" ca="1" si="21"/>
        <v>0</v>
      </c>
      <c r="N98" s="110">
        <f t="shared" ca="1" si="21"/>
        <v>0</v>
      </c>
      <c r="O98" s="110">
        <f t="shared" ca="1" si="21"/>
        <v>0</v>
      </c>
      <c r="P98" s="110">
        <f t="shared" ca="1" si="21"/>
        <v>0</v>
      </c>
      <c r="Q98" s="110">
        <f t="shared" ca="1" si="21"/>
        <v>0</v>
      </c>
      <c r="R98" s="110">
        <f t="shared" ca="1" si="21"/>
        <v>0</v>
      </c>
      <c r="S98" s="110">
        <f t="shared" ca="1" si="21"/>
        <v>0</v>
      </c>
      <c r="T98" s="110">
        <f t="shared" ca="1" si="21"/>
        <v>0</v>
      </c>
      <c r="U98" s="110">
        <f t="shared" ca="1" si="19"/>
        <v>0</v>
      </c>
      <c r="V98" s="110">
        <f t="shared" ca="1" si="19"/>
        <v>0</v>
      </c>
      <c r="W98" s="110">
        <f t="shared" ca="1" si="19"/>
        <v>0</v>
      </c>
      <c r="X98" s="110">
        <f t="shared" ca="1" si="19"/>
        <v>0</v>
      </c>
      <c r="Y98" s="110">
        <f t="shared" ca="1" si="19"/>
        <v>0</v>
      </c>
      <c r="Z98" s="110">
        <f t="shared" ca="1" si="19"/>
        <v>0</v>
      </c>
      <c r="AA98" s="110">
        <f t="shared" ca="1" si="19"/>
        <v>0</v>
      </c>
      <c r="AB98" s="110">
        <f t="shared" ca="1" si="19"/>
        <v>0</v>
      </c>
      <c r="AC98" s="110">
        <f t="shared" ca="1" si="19"/>
        <v>0</v>
      </c>
      <c r="AD98" s="110">
        <f t="shared" ca="1" si="19"/>
        <v>0</v>
      </c>
      <c r="AE98" s="110">
        <f t="shared" ca="1" si="19"/>
        <v>0</v>
      </c>
      <c r="AF98" s="110">
        <f t="shared" ca="1" si="19"/>
        <v>0</v>
      </c>
      <c r="AG98" s="110">
        <f t="shared" ca="1" si="19"/>
        <v>0</v>
      </c>
      <c r="AH98" s="110">
        <f t="shared" ca="1" si="19"/>
        <v>0</v>
      </c>
      <c r="AI98" s="110">
        <f t="shared" ca="1" si="19"/>
        <v>0</v>
      </c>
      <c r="AJ98" s="110">
        <f t="shared" ca="1" si="19"/>
        <v>0</v>
      </c>
      <c r="AK98" s="110">
        <f t="shared" ca="1" si="20"/>
        <v>0</v>
      </c>
      <c r="AL98" s="110">
        <f t="shared" ca="1" si="16"/>
        <v>0</v>
      </c>
      <c r="AM98" s="110">
        <f t="shared" ca="1" si="16"/>
        <v>0</v>
      </c>
      <c r="AN98" s="110">
        <f t="shared" ca="1" si="16"/>
        <v>0</v>
      </c>
      <c r="AO98" s="110">
        <f t="shared" ca="1" si="16"/>
        <v>0</v>
      </c>
    </row>
    <row r="99" spans="3:41">
      <c r="D99" s="106">
        <f t="shared" ca="1" si="18"/>
        <v>45219</v>
      </c>
      <c r="E99" s="110">
        <f t="shared" ca="1" si="21"/>
        <v>0</v>
      </c>
      <c r="F99" s="110">
        <f t="shared" ca="1" si="21"/>
        <v>0</v>
      </c>
      <c r="G99" s="110">
        <f t="shared" ca="1" si="21"/>
        <v>0</v>
      </c>
      <c r="H99" s="110">
        <f t="shared" ca="1" si="21"/>
        <v>0</v>
      </c>
      <c r="I99" s="110">
        <f t="shared" ca="1" si="21"/>
        <v>0</v>
      </c>
      <c r="J99" s="110">
        <f t="shared" ca="1" si="21"/>
        <v>0</v>
      </c>
      <c r="K99" s="110">
        <f t="shared" ca="1" si="21"/>
        <v>0</v>
      </c>
      <c r="L99" s="110">
        <f t="shared" ca="1" si="21"/>
        <v>0</v>
      </c>
      <c r="M99" s="110">
        <f t="shared" ca="1" si="21"/>
        <v>0</v>
      </c>
      <c r="N99" s="110">
        <f t="shared" ca="1" si="21"/>
        <v>0</v>
      </c>
      <c r="O99" s="110">
        <f t="shared" ca="1" si="21"/>
        <v>0</v>
      </c>
      <c r="P99" s="110">
        <f t="shared" ca="1" si="21"/>
        <v>0</v>
      </c>
      <c r="Q99" s="110">
        <f t="shared" ca="1" si="21"/>
        <v>0</v>
      </c>
      <c r="R99" s="110">
        <f t="shared" ca="1" si="21"/>
        <v>0</v>
      </c>
      <c r="S99" s="110">
        <f t="shared" ca="1" si="21"/>
        <v>0</v>
      </c>
      <c r="T99" s="110">
        <f t="shared" ca="1" si="21"/>
        <v>0</v>
      </c>
      <c r="U99" s="110">
        <f t="shared" ca="1" si="19"/>
        <v>0</v>
      </c>
      <c r="V99" s="110">
        <f t="shared" ca="1" si="19"/>
        <v>0</v>
      </c>
      <c r="W99" s="110">
        <f t="shared" ca="1" si="19"/>
        <v>0</v>
      </c>
      <c r="X99" s="110">
        <f t="shared" ca="1" si="19"/>
        <v>0</v>
      </c>
      <c r="Y99" s="110">
        <f t="shared" ca="1" si="19"/>
        <v>0</v>
      </c>
      <c r="Z99" s="110">
        <f t="shared" ca="1" si="19"/>
        <v>0</v>
      </c>
      <c r="AA99" s="110">
        <f t="shared" ca="1" si="19"/>
        <v>0</v>
      </c>
      <c r="AB99" s="110">
        <f t="shared" ca="1" si="19"/>
        <v>0</v>
      </c>
      <c r="AC99" s="110">
        <f t="shared" ca="1" si="19"/>
        <v>0</v>
      </c>
      <c r="AD99" s="110">
        <f t="shared" ca="1" si="19"/>
        <v>0</v>
      </c>
      <c r="AE99" s="110">
        <f t="shared" ca="1" si="19"/>
        <v>0</v>
      </c>
      <c r="AF99" s="110">
        <f t="shared" ca="1" si="19"/>
        <v>0</v>
      </c>
      <c r="AG99" s="110">
        <f t="shared" ca="1" si="19"/>
        <v>0</v>
      </c>
      <c r="AH99" s="110">
        <f t="shared" ca="1" si="19"/>
        <v>0</v>
      </c>
      <c r="AI99" s="110">
        <f t="shared" ca="1" si="19"/>
        <v>0</v>
      </c>
      <c r="AJ99" s="110">
        <f t="shared" ca="1" si="19"/>
        <v>0</v>
      </c>
      <c r="AK99" s="110">
        <f t="shared" ca="1" si="20"/>
        <v>0</v>
      </c>
      <c r="AL99" s="110">
        <f t="shared" ca="1" si="16"/>
        <v>0</v>
      </c>
      <c r="AM99" s="110">
        <f t="shared" ca="1" si="16"/>
        <v>0</v>
      </c>
      <c r="AN99" s="110">
        <f t="shared" ca="1" si="16"/>
        <v>0</v>
      </c>
      <c r="AO99" s="110">
        <f t="shared" ca="1" si="16"/>
        <v>0</v>
      </c>
    </row>
    <row r="100" spans="3:41">
      <c r="D100" s="106">
        <f t="shared" ca="1" si="18"/>
        <v>45222</v>
      </c>
      <c r="E100" s="110">
        <f t="shared" ca="1" si="21"/>
        <v>0</v>
      </c>
      <c r="F100" s="110">
        <f t="shared" ca="1" si="21"/>
        <v>0</v>
      </c>
      <c r="G100" s="110">
        <f t="shared" ca="1" si="21"/>
        <v>0</v>
      </c>
      <c r="H100" s="110">
        <f t="shared" ca="1" si="21"/>
        <v>0</v>
      </c>
      <c r="I100" s="110">
        <f t="shared" ca="1" si="21"/>
        <v>0</v>
      </c>
      <c r="J100" s="110">
        <f t="shared" ca="1" si="21"/>
        <v>0</v>
      </c>
      <c r="K100" s="110">
        <f t="shared" ca="1" si="21"/>
        <v>0</v>
      </c>
      <c r="L100" s="110">
        <f t="shared" ca="1" si="21"/>
        <v>0</v>
      </c>
      <c r="M100" s="110">
        <f t="shared" ca="1" si="21"/>
        <v>0</v>
      </c>
      <c r="N100" s="110">
        <f t="shared" ca="1" si="21"/>
        <v>0</v>
      </c>
      <c r="O100" s="110">
        <f t="shared" ca="1" si="21"/>
        <v>0</v>
      </c>
      <c r="P100" s="110">
        <f t="shared" ca="1" si="21"/>
        <v>0</v>
      </c>
      <c r="Q100" s="110">
        <f t="shared" ca="1" si="21"/>
        <v>0</v>
      </c>
      <c r="R100" s="110">
        <f t="shared" ca="1" si="21"/>
        <v>0</v>
      </c>
      <c r="S100" s="110">
        <f t="shared" ca="1" si="21"/>
        <v>0</v>
      </c>
      <c r="T100" s="110">
        <f t="shared" ca="1" si="21"/>
        <v>0</v>
      </c>
      <c r="U100" s="110">
        <f t="shared" ca="1" si="19"/>
        <v>0</v>
      </c>
      <c r="V100" s="110">
        <f t="shared" ca="1" si="19"/>
        <v>0</v>
      </c>
      <c r="W100" s="110">
        <f t="shared" ca="1" si="19"/>
        <v>0</v>
      </c>
      <c r="X100" s="110">
        <f t="shared" ca="1" si="19"/>
        <v>0</v>
      </c>
      <c r="Y100" s="110">
        <f t="shared" ca="1" si="19"/>
        <v>0</v>
      </c>
      <c r="Z100" s="110">
        <f t="shared" ca="1" si="19"/>
        <v>0</v>
      </c>
      <c r="AA100" s="110">
        <f t="shared" ca="1" si="19"/>
        <v>0</v>
      </c>
      <c r="AB100" s="110">
        <f t="shared" ca="1" si="19"/>
        <v>0</v>
      </c>
      <c r="AC100" s="110">
        <f t="shared" ca="1" si="19"/>
        <v>0</v>
      </c>
      <c r="AD100" s="110">
        <f t="shared" ca="1" si="19"/>
        <v>0</v>
      </c>
      <c r="AE100" s="110">
        <f t="shared" ca="1" si="19"/>
        <v>0</v>
      </c>
      <c r="AF100" s="110">
        <f t="shared" ca="1" si="19"/>
        <v>0</v>
      </c>
      <c r="AG100" s="110">
        <f t="shared" ca="1" si="19"/>
        <v>0</v>
      </c>
      <c r="AH100" s="110">
        <f t="shared" ca="1" si="19"/>
        <v>0</v>
      </c>
      <c r="AI100" s="110">
        <f t="shared" ca="1" si="19"/>
        <v>0</v>
      </c>
      <c r="AJ100" s="110">
        <f t="shared" ca="1" si="19"/>
        <v>0</v>
      </c>
      <c r="AK100" s="110">
        <f t="shared" ca="1" si="20"/>
        <v>0</v>
      </c>
      <c r="AL100" s="110">
        <f t="shared" ca="1" si="16"/>
        <v>0</v>
      </c>
      <c r="AM100" s="110">
        <f t="shared" ca="1" si="16"/>
        <v>0</v>
      </c>
      <c r="AN100" s="110">
        <f t="shared" ca="1" si="16"/>
        <v>0</v>
      </c>
      <c r="AO100" s="110">
        <f t="shared" ca="1" si="16"/>
        <v>0</v>
      </c>
    </row>
    <row r="101" spans="3:41">
      <c r="D101" s="106">
        <f t="shared" ca="1" si="18"/>
        <v>45223</v>
      </c>
      <c r="E101" s="110">
        <f t="shared" ca="1" si="21"/>
        <v>0</v>
      </c>
      <c r="F101" s="110">
        <f t="shared" ca="1" si="21"/>
        <v>0</v>
      </c>
      <c r="G101" s="110">
        <f t="shared" ca="1" si="21"/>
        <v>0</v>
      </c>
      <c r="H101" s="110">
        <f t="shared" ca="1" si="21"/>
        <v>0</v>
      </c>
      <c r="I101" s="110">
        <f t="shared" ca="1" si="21"/>
        <v>0</v>
      </c>
      <c r="J101" s="110">
        <f t="shared" ca="1" si="21"/>
        <v>0</v>
      </c>
      <c r="K101" s="110">
        <f t="shared" ca="1" si="21"/>
        <v>0</v>
      </c>
      <c r="L101" s="110">
        <f t="shared" ca="1" si="21"/>
        <v>0</v>
      </c>
      <c r="M101" s="110">
        <f t="shared" ca="1" si="21"/>
        <v>0</v>
      </c>
      <c r="N101" s="110">
        <f t="shared" ca="1" si="21"/>
        <v>0</v>
      </c>
      <c r="O101" s="110">
        <f t="shared" ca="1" si="21"/>
        <v>0</v>
      </c>
      <c r="P101" s="110">
        <f t="shared" ca="1" si="21"/>
        <v>0</v>
      </c>
      <c r="Q101" s="110">
        <f t="shared" ca="1" si="21"/>
        <v>0</v>
      </c>
      <c r="R101" s="110">
        <f t="shared" ca="1" si="21"/>
        <v>0</v>
      </c>
      <c r="S101" s="110">
        <f t="shared" ca="1" si="21"/>
        <v>0</v>
      </c>
      <c r="T101" s="110">
        <f t="shared" ca="1" si="21"/>
        <v>0</v>
      </c>
      <c r="U101" s="110">
        <f t="shared" ca="1" si="19"/>
        <v>0</v>
      </c>
      <c r="V101" s="110">
        <f t="shared" ca="1" si="19"/>
        <v>0</v>
      </c>
      <c r="W101" s="110">
        <f t="shared" ca="1" si="19"/>
        <v>0</v>
      </c>
      <c r="X101" s="110">
        <f t="shared" ca="1" si="19"/>
        <v>0</v>
      </c>
      <c r="Y101" s="110">
        <f t="shared" ca="1" si="19"/>
        <v>0</v>
      </c>
      <c r="Z101" s="110">
        <f t="shared" ca="1" si="19"/>
        <v>0</v>
      </c>
      <c r="AA101" s="110">
        <f t="shared" ca="1" si="19"/>
        <v>0</v>
      </c>
      <c r="AB101" s="110">
        <f t="shared" ca="1" si="19"/>
        <v>0</v>
      </c>
      <c r="AC101" s="110">
        <f t="shared" ca="1" si="19"/>
        <v>0</v>
      </c>
      <c r="AD101" s="110">
        <f t="shared" ca="1" si="19"/>
        <v>0</v>
      </c>
      <c r="AE101" s="110">
        <f t="shared" ca="1" si="19"/>
        <v>0</v>
      </c>
      <c r="AF101" s="110">
        <f t="shared" ca="1" si="19"/>
        <v>0</v>
      </c>
      <c r="AG101" s="110">
        <f t="shared" ca="1" si="19"/>
        <v>0</v>
      </c>
      <c r="AH101" s="110">
        <f t="shared" ca="1" si="19"/>
        <v>0</v>
      </c>
      <c r="AI101" s="110">
        <f t="shared" ca="1" si="19"/>
        <v>0</v>
      </c>
      <c r="AJ101" s="110">
        <f t="shared" ca="1" si="19"/>
        <v>0</v>
      </c>
      <c r="AK101" s="110">
        <f t="shared" ca="1" si="20"/>
        <v>0</v>
      </c>
      <c r="AL101" s="110">
        <f t="shared" ca="1" si="16"/>
        <v>0</v>
      </c>
      <c r="AM101" s="110">
        <f t="shared" ca="1" si="16"/>
        <v>0</v>
      </c>
      <c r="AN101" s="110">
        <f t="shared" ca="1" si="16"/>
        <v>0</v>
      </c>
      <c r="AO101" s="110">
        <f t="shared" ca="1" si="16"/>
        <v>0</v>
      </c>
    </row>
    <row r="102" spans="3:41">
      <c r="D102" s="106">
        <f t="shared" ca="1" si="18"/>
        <v>45224</v>
      </c>
      <c r="E102" s="110">
        <f t="shared" ca="1" si="21"/>
        <v>0</v>
      </c>
      <c r="F102" s="110">
        <f t="shared" ca="1" si="21"/>
        <v>0</v>
      </c>
      <c r="G102" s="110">
        <f t="shared" ca="1" si="21"/>
        <v>0</v>
      </c>
      <c r="H102" s="110">
        <f t="shared" ca="1" si="21"/>
        <v>0</v>
      </c>
      <c r="I102" s="110">
        <f t="shared" ca="1" si="21"/>
        <v>0</v>
      </c>
      <c r="J102" s="110">
        <f t="shared" ca="1" si="21"/>
        <v>0</v>
      </c>
      <c r="K102" s="110">
        <f t="shared" ca="1" si="21"/>
        <v>0</v>
      </c>
      <c r="L102" s="110">
        <f t="shared" ca="1" si="21"/>
        <v>0</v>
      </c>
      <c r="M102" s="110">
        <f t="shared" ca="1" si="21"/>
        <v>0</v>
      </c>
      <c r="N102" s="110">
        <f t="shared" ca="1" si="21"/>
        <v>0</v>
      </c>
      <c r="O102" s="110">
        <f t="shared" ca="1" si="21"/>
        <v>0</v>
      </c>
      <c r="P102" s="110">
        <f t="shared" ca="1" si="21"/>
        <v>0</v>
      </c>
      <c r="Q102" s="110">
        <f t="shared" ca="1" si="21"/>
        <v>0</v>
      </c>
      <c r="R102" s="110">
        <f t="shared" ca="1" si="21"/>
        <v>0</v>
      </c>
      <c r="S102" s="110">
        <f t="shared" ca="1" si="21"/>
        <v>0</v>
      </c>
      <c r="T102" s="110">
        <f t="shared" ca="1" si="21"/>
        <v>0</v>
      </c>
      <c r="U102" s="110">
        <f t="shared" ca="1" si="19"/>
        <v>0</v>
      </c>
      <c r="V102" s="110">
        <f t="shared" ca="1" si="19"/>
        <v>0</v>
      </c>
      <c r="W102" s="110">
        <f t="shared" ca="1" si="19"/>
        <v>0</v>
      </c>
      <c r="X102" s="110">
        <f t="shared" ca="1" si="19"/>
        <v>0</v>
      </c>
      <c r="Y102" s="110">
        <f t="shared" ca="1" si="19"/>
        <v>0</v>
      </c>
      <c r="Z102" s="110">
        <f t="shared" ca="1" si="19"/>
        <v>0</v>
      </c>
      <c r="AA102" s="110">
        <f t="shared" ca="1" si="19"/>
        <v>0</v>
      </c>
      <c r="AB102" s="110">
        <f t="shared" ca="1" si="19"/>
        <v>0</v>
      </c>
      <c r="AC102" s="110">
        <f t="shared" ca="1" si="19"/>
        <v>0</v>
      </c>
      <c r="AD102" s="110">
        <f t="shared" ca="1" si="19"/>
        <v>0</v>
      </c>
      <c r="AE102" s="110">
        <f t="shared" ca="1" si="19"/>
        <v>0</v>
      </c>
      <c r="AF102" s="110">
        <f t="shared" ca="1" si="19"/>
        <v>0</v>
      </c>
      <c r="AG102" s="110">
        <f t="shared" ca="1" si="19"/>
        <v>0</v>
      </c>
      <c r="AH102" s="110">
        <f t="shared" ca="1" si="19"/>
        <v>0</v>
      </c>
      <c r="AI102" s="110">
        <f t="shared" ca="1" si="19"/>
        <v>0</v>
      </c>
      <c r="AJ102" s="110">
        <f t="shared" ca="1" si="19"/>
        <v>0</v>
      </c>
      <c r="AK102" s="110">
        <f t="shared" ca="1" si="20"/>
        <v>0</v>
      </c>
      <c r="AL102" s="110">
        <f t="shared" ca="1" si="16"/>
        <v>0</v>
      </c>
      <c r="AM102" s="110">
        <f t="shared" ca="1" si="16"/>
        <v>0</v>
      </c>
      <c r="AN102" s="110">
        <f t="shared" ca="1" si="16"/>
        <v>0</v>
      </c>
      <c r="AO102" s="110">
        <f t="shared" ca="1" si="16"/>
        <v>0</v>
      </c>
    </row>
    <row r="103" spans="3:41">
      <c r="D103" s="106">
        <f t="shared" ca="1" si="18"/>
        <v>45225</v>
      </c>
      <c r="E103" s="110">
        <f t="shared" ca="1" si="21"/>
        <v>0</v>
      </c>
      <c r="F103" s="110">
        <f t="shared" ca="1" si="21"/>
        <v>0</v>
      </c>
      <c r="G103" s="110">
        <f t="shared" ca="1" si="21"/>
        <v>0</v>
      </c>
      <c r="H103" s="110">
        <f t="shared" ca="1" si="21"/>
        <v>0</v>
      </c>
      <c r="I103" s="110">
        <f t="shared" ca="1" si="21"/>
        <v>0</v>
      </c>
      <c r="J103" s="110">
        <f t="shared" ca="1" si="21"/>
        <v>0</v>
      </c>
      <c r="K103" s="110">
        <f t="shared" ca="1" si="21"/>
        <v>0</v>
      </c>
      <c r="L103" s="110">
        <f t="shared" ca="1" si="21"/>
        <v>0</v>
      </c>
      <c r="M103" s="110">
        <f t="shared" ca="1" si="21"/>
        <v>0</v>
      </c>
      <c r="N103" s="110">
        <f t="shared" ca="1" si="21"/>
        <v>0</v>
      </c>
      <c r="O103" s="110">
        <f t="shared" ca="1" si="21"/>
        <v>0</v>
      </c>
      <c r="P103" s="110">
        <f t="shared" ca="1" si="21"/>
        <v>0</v>
      </c>
      <c r="Q103" s="110">
        <f t="shared" ca="1" si="21"/>
        <v>0</v>
      </c>
      <c r="R103" s="110">
        <f t="shared" ca="1" si="21"/>
        <v>0</v>
      </c>
      <c r="S103" s="110">
        <f t="shared" ca="1" si="21"/>
        <v>0</v>
      </c>
      <c r="T103" s="110">
        <f t="shared" ca="1" si="21"/>
        <v>0</v>
      </c>
      <c r="U103" s="110">
        <f t="shared" ca="1" si="19"/>
        <v>0</v>
      </c>
      <c r="V103" s="110">
        <f t="shared" ca="1" si="19"/>
        <v>0</v>
      </c>
      <c r="W103" s="110">
        <f t="shared" ca="1" si="19"/>
        <v>0</v>
      </c>
      <c r="X103" s="110">
        <f t="shared" ca="1" si="19"/>
        <v>0</v>
      </c>
      <c r="Y103" s="110">
        <f t="shared" ca="1" si="19"/>
        <v>0</v>
      </c>
      <c r="Z103" s="110">
        <f t="shared" ca="1" si="19"/>
        <v>0</v>
      </c>
      <c r="AA103" s="110">
        <f t="shared" ca="1" si="19"/>
        <v>0</v>
      </c>
      <c r="AB103" s="110">
        <f t="shared" ca="1" si="19"/>
        <v>0</v>
      </c>
      <c r="AC103" s="110">
        <f t="shared" ca="1" si="19"/>
        <v>0</v>
      </c>
      <c r="AD103" s="110">
        <f t="shared" ca="1" si="19"/>
        <v>0</v>
      </c>
      <c r="AE103" s="110">
        <f t="shared" ca="1" si="19"/>
        <v>0</v>
      </c>
      <c r="AF103" s="110">
        <f t="shared" ca="1" si="19"/>
        <v>0</v>
      </c>
      <c r="AG103" s="110">
        <f t="shared" ca="1" si="19"/>
        <v>0</v>
      </c>
      <c r="AH103" s="110">
        <f t="shared" ca="1" si="19"/>
        <v>0</v>
      </c>
      <c r="AI103" s="110">
        <f t="shared" ca="1" si="19"/>
        <v>0</v>
      </c>
      <c r="AJ103" s="110">
        <f t="shared" ca="1" si="19"/>
        <v>0</v>
      </c>
      <c r="AK103" s="110">
        <f t="shared" ca="1" si="20"/>
        <v>0</v>
      </c>
      <c r="AL103" s="110">
        <f t="shared" ca="1" si="16"/>
        <v>0</v>
      </c>
      <c r="AM103" s="110">
        <f t="shared" ca="1" si="16"/>
        <v>0</v>
      </c>
      <c r="AN103" s="110">
        <f t="shared" ca="1" si="16"/>
        <v>0</v>
      </c>
      <c r="AO103" s="110">
        <f t="shared" ca="1" si="16"/>
        <v>0</v>
      </c>
    </row>
    <row r="104" spans="3:41">
      <c r="D104" s="106">
        <f t="shared" ca="1" si="18"/>
        <v>45226</v>
      </c>
      <c r="E104" s="110">
        <f t="shared" ca="1" si="21"/>
        <v>0</v>
      </c>
      <c r="F104" s="110">
        <f t="shared" ca="1" si="21"/>
        <v>0</v>
      </c>
      <c r="G104" s="110">
        <f t="shared" ca="1" si="21"/>
        <v>0</v>
      </c>
      <c r="H104" s="110">
        <f t="shared" ca="1" si="21"/>
        <v>0</v>
      </c>
      <c r="I104" s="110">
        <f t="shared" ca="1" si="21"/>
        <v>0</v>
      </c>
      <c r="J104" s="110">
        <f t="shared" ca="1" si="21"/>
        <v>0</v>
      </c>
      <c r="K104" s="110">
        <f t="shared" ca="1" si="21"/>
        <v>0</v>
      </c>
      <c r="L104" s="110">
        <f t="shared" ca="1" si="21"/>
        <v>0</v>
      </c>
      <c r="M104" s="110">
        <f t="shared" ca="1" si="21"/>
        <v>0</v>
      </c>
      <c r="N104" s="110">
        <f t="shared" ca="1" si="21"/>
        <v>0</v>
      </c>
      <c r="O104" s="110">
        <f t="shared" ca="1" si="21"/>
        <v>0</v>
      </c>
      <c r="P104" s="110">
        <f t="shared" ca="1" si="21"/>
        <v>0</v>
      </c>
      <c r="Q104" s="110">
        <f t="shared" ca="1" si="21"/>
        <v>0</v>
      </c>
      <c r="R104" s="110">
        <f t="shared" ca="1" si="21"/>
        <v>0</v>
      </c>
      <c r="S104" s="110">
        <f t="shared" ca="1" si="21"/>
        <v>0</v>
      </c>
      <c r="T104" s="110">
        <f t="shared" ca="1" si="21"/>
        <v>0</v>
      </c>
      <c r="U104" s="110">
        <f t="shared" ca="1" si="19"/>
        <v>0</v>
      </c>
      <c r="V104" s="110">
        <f t="shared" ca="1" si="19"/>
        <v>0</v>
      </c>
      <c r="W104" s="110">
        <f t="shared" ca="1" si="19"/>
        <v>0</v>
      </c>
      <c r="X104" s="110">
        <f t="shared" ca="1" si="19"/>
        <v>0</v>
      </c>
      <c r="Y104" s="110">
        <f t="shared" ca="1" si="19"/>
        <v>0</v>
      </c>
      <c r="Z104" s="110">
        <f t="shared" ca="1" si="19"/>
        <v>0</v>
      </c>
      <c r="AA104" s="110">
        <f t="shared" ca="1" si="19"/>
        <v>0</v>
      </c>
      <c r="AB104" s="110">
        <f t="shared" ca="1" si="19"/>
        <v>0</v>
      </c>
      <c r="AC104" s="110">
        <f t="shared" ca="1" si="19"/>
        <v>0</v>
      </c>
      <c r="AD104" s="110">
        <f t="shared" ca="1" si="19"/>
        <v>0</v>
      </c>
      <c r="AE104" s="110">
        <f t="shared" ca="1" si="19"/>
        <v>0</v>
      </c>
      <c r="AF104" s="110">
        <f t="shared" ca="1" si="19"/>
        <v>0</v>
      </c>
      <c r="AG104" s="110">
        <f t="shared" ca="1" si="19"/>
        <v>0</v>
      </c>
      <c r="AH104" s="110">
        <f t="shared" ca="1" si="19"/>
        <v>0</v>
      </c>
      <c r="AI104" s="110">
        <f t="shared" ca="1" si="19"/>
        <v>0</v>
      </c>
      <c r="AJ104" s="110">
        <f t="shared" ca="1" si="19"/>
        <v>0</v>
      </c>
      <c r="AK104" s="110">
        <f t="shared" ca="1" si="20"/>
        <v>0</v>
      </c>
      <c r="AL104" s="110">
        <f t="shared" ca="1" si="16"/>
        <v>0</v>
      </c>
      <c r="AM104" s="110">
        <f t="shared" ca="1" si="16"/>
        <v>0</v>
      </c>
      <c r="AN104" s="110">
        <f t="shared" ca="1" si="16"/>
        <v>0</v>
      </c>
      <c r="AO104" s="110">
        <f t="shared" ca="1" si="16"/>
        <v>0</v>
      </c>
    </row>
    <row r="105" spans="3:41">
      <c r="D105" s="106">
        <f t="shared" ca="1" si="18"/>
        <v>45229</v>
      </c>
      <c r="E105" s="110">
        <f t="shared" ca="1" si="21"/>
        <v>0</v>
      </c>
      <c r="F105" s="110">
        <f t="shared" ca="1" si="21"/>
        <v>0</v>
      </c>
      <c r="G105" s="110">
        <f t="shared" ca="1" si="21"/>
        <v>0</v>
      </c>
      <c r="H105" s="110">
        <f t="shared" ca="1" si="21"/>
        <v>0</v>
      </c>
      <c r="I105" s="110">
        <f t="shared" ca="1" si="21"/>
        <v>0</v>
      </c>
      <c r="J105" s="110">
        <f t="shared" ca="1" si="21"/>
        <v>0</v>
      </c>
      <c r="K105" s="110">
        <f t="shared" ca="1" si="21"/>
        <v>0</v>
      </c>
      <c r="L105" s="110">
        <f t="shared" ca="1" si="21"/>
        <v>0</v>
      </c>
      <c r="M105" s="110">
        <f t="shared" ca="1" si="21"/>
        <v>0</v>
      </c>
      <c r="N105" s="110">
        <f t="shared" ca="1" si="21"/>
        <v>0</v>
      </c>
      <c r="O105" s="110">
        <f t="shared" ca="1" si="21"/>
        <v>0</v>
      </c>
      <c r="P105" s="110">
        <f t="shared" ca="1" si="21"/>
        <v>0</v>
      </c>
      <c r="Q105" s="110">
        <f t="shared" ca="1" si="21"/>
        <v>0</v>
      </c>
      <c r="R105" s="110">
        <f t="shared" ca="1" si="21"/>
        <v>0</v>
      </c>
      <c r="S105" s="110">
        <f t="shared" ca="1" si="21"/>
        <v>0</v>
      </c>
      <c r="T105" s="110">
        <f t="shared" ca="1" si="21"/>
        <v>0</v>
      </c>
      <c r="U105" s="110">
        <f t="shared" ref="U105:AK105" ca="1" si="22">IFERROR((OptionPrice(LEFT($C$79),U$72,$C$74,($C$75-$D105+1)/365,$C$76,$C$78,$C$77)-$C$80)*$C$81,0)</f>
        <v>0</v>
      </c>
      <c r="V105" s="110">
        <f t="shared" ca="1" si="22"/>
        <v>0</v>
      </c>
      <c r="W105" s="110">
        <f t="shared" ca="1" si="22"/>
        <v>0</v>
      </c>
      <c r="X105" s="110">
        <f t="shared" ca="1" si="22"/>
        <v>0</v>
      </c>
      <c r="Y105" s="110">
        <f t="shared" ca="1" si="22"/>
        <v>0</v>
      </c>
      <c r="Z105" s="110">
        <f t="shared" ca="1" si="22"/>
        <v>0</v>
      </c>
      <c r="AA105" s="110">
        <f t="shared" ca="1" si="22"/>
        <v>0</v>
      </c>
      <c r="AB105" s="110">
        <f t="shared" ca="1" si="22"/>
        <v>0</v>
      </c>
      <c r="AC105" s="110">
        <f t="shared" ca="1" si="22"/>
        <v>0</v>
      </c>
      <c r="AD105" s="110">
        <f t="shared" ca="1" si="22"/>
        <v>0</v>
      </c>
      <c r="AE105" s="110">
        <f t="shared" ca="1" si="22"/>
        <v>0</v>
      </c>
      <c r="AF105" s="110">
        <f t="shared" ca="1" si="22"/>
        <v>0</v>
      </c>
      <c r="AG105" s="110">
        <f t="shared" ca="1" si="22"/>
        <v>0</v>
      </c>
      <c r="AH105" s="110">
        <f t="shared" ca="1" si="22"/>
        <v>0</v>
      </c>
      <c r="AI105" s="110">
        <f t="shared" ca="1" si="22"/>
        <v>0</v>
      </c>
      <c r="AJ105" s="110">
        <f t="shared" ca="1" si="22"/>
        <v>0</v>
      </c>
      <c r="AK105" s="110">
        <f t="shared" ca="1" si="22"/>
        <v>0</v>
      </c>
      <c r="AL105" s="110">
        <f t="shared" ca="1" si="16"/>
        <v>0</v>
      </c>
      <c r="AM105" s="110">
        <f t="shared" ca="1" si="16"/>
        <v>0</v>
      </c>
      <c r="AN105" s="110">
        <f t="shared" ca="1" si="16"/>
        <v>0</v>
      </c>
      <c r="AO105" s="110">
        <f t="shared" ca="1" si="16"/>
        <v>0</v>
      </c>
    </row>
    <row r="106" spans="3:41">
      <c r="E106" s="111"/>
      <c r="F106" s="111"/>
      <c r="G106" s="111"/>
      <c r="H106" s="111"/>
      <c r="I106" s="111"/>
      <c r="J106" s="111"/>
      <c r="K106" s="111"/>
      <c r="L106" s="111"/>
      <c r="M106" s="111"/>
      <c r="N106" s="111"/>
      <c r="O106" s="111"/>
      <c r="P106" s="111"/>
      <c r="Q106" s="111"/>
      <c r="R106" s="111"/>
      <c r="S106" s="111"/>
      <c r="T106" s="111"/>
      <c r="U106" s="111"/>
      <c r="V106" s="111"/>
      <c r="W106" s="111"/>
      <c r="X106" s="111"/>
      <c r="Y106" s="111"/>
      <c r="Z106" s="111"/>
      <c r="AA106" s="111"/>
      <c r="AB106" s="111"/>
      <c r="AC106" s="111"/>
      <c r="AD106" s="111"/>
      <c r="AE106" s="111"/>
      <c r="AF106" s="111"/>
      <c r="AG106" s="111"/>
      <c r="AH106" s="111"/>
      <c r="AI106" s="111"/>
      <c r="AJ106" s="111"/>
      <c r="AK106" s="111"/>
      <c r="AL106" s="111"/>
      <c r="AM106" s="111"/>
      <c r="AN106" s="111"/>
      <c r="AO106" s="111"/>
    </row>
    <row r="107" spans="3:41">
      <c r="E107" s="111"/>
      <c r="F107" s="111"/>
      <c r="G107" s="111"/>
      <c r="H107" s="111"/>
      <c r="I107" s="111"/>
      <c r="J107" s="111"/>
      <c r="K107" s="111"/>
      <c r="L107" s="111"/>
      <c r="M107" s="111"/>
      <c r="N107" s="111"/>
      <c r="O107" s="111"/>
      <c r="P107" s="111"/>
      <c r="Q107" s="111"/>
      <c r="R107" s="111"/>
      <c r="S107" s="111"/>
      <c r="T107" s="111"/>
      <c r="U107" s="111"/>
      <c r="V107" s="111"/>
      <c r="W107" s="111"/>
      <c r="X107" s="111"/>
      <c r="Y107" s="111"/>
      <c r="Z107" s="111"/>
      <c r="AA107" s="111"/>
      <c r="AB107" s="111"/>
      <c r="AC107" s="111"/>
      <c r="AD107" s="111"/>
      <c r="AE107" s="111"/>
      <c r="AF107" s="111"/>
      <c r="AG107" s="111"/>
      <c r="AH107" s="111"/>
      <c r="AI107" s="111"/>
      <c r="AJ107" s="111"/>
      <c r="AK107" s="111"/>
      <c r="AL107" s="111"/>
      <c r="AM107" s="111"/>
      <c r="AN107" s="111"/>
      <c r="AO107" s="111"/>
    </row>
    <row r="108" spans="3:41">
      <c r="E108" s="111"/>
      <c r="F108" s="111"/>
      <c r="G108" s="111"/>
      <c r="H108" s="111"/>
      <c r="I108" s="111"/>
      <c r="J108" s="111"/>
      <c r="K108" s="111"/>
      <c r="L108" s="111"/>
      <c r="M108" s="111"/>
      <c r="N108" s="111"/>
      <c r="O108" s="111"/>
      <c r="P108" s="111"/>
      <c r="Q108" s="111"/>
      <c r="R108" s="111"/>
      <c r="S108" s="111"/>
      <c r="T108" s="111"/>
      <c r="U108" s="111"/>
      <c r="V108" s="111"/>
      <c r="W108" s="111"/>
      <c r="X108" s="111"/>
      <c r="Y108" s="111"/>
      <c r="Z108" s="111"/>
      <c r="AA108" s="111"/>
      <c r="AB108" s="111"/>
      <c r="AC108" s="111"/>
      <c r="AD108" s="111"/>
      <c r="AE108" s="111"/>
      <c r="AF108" s="111"/>
      <c r="AG108" s="111"/>
      <c r="AH108" s="111"/>
      <c r="AI108" s="111"/>
      <c r="AJ108" s="111"/>
      <c r="AK108" s="111"/>
      <c r="AL108" s="111"/>
      <c r="AM108" s="111"/>
      <c r="AN108" s="111"/>
      <c r="AO108" s="111"/>
    </row>
    <row r="109" spans="3:41">
      <c r="D109" s="13" t="s">
        <v>79</v>
      </c>
      <c r="E109" s="104" t="e">
        <f>E72</f>
        <v>#VALUE!</v>
      </c>
      <c r="F109" s="105" t="e">
        <f t="shared" ref="F109:AO109" si="23">F72</f>
        <v>#VALUE!</v>
      </c>
      <c r="G109" s="105" t="e">
        <f t="shared" si="23"/>
        <v>#VALUE!</v>
      </c>
      <c r="H109" s="105" t="e">
        <f t="shared" si="23"/>
        <v>#VALUE!</v>
      </c>
      <c r="I109" s="105" t="e">
        <f t="shared" si="23"/>
        <v>#VALUE!</v>
      </c>
      <c r="J109" s="105" t="e">
        <f t="shared" si="23"/>
        <v>#VALUE!</v>
      </c>
      <c r="K109" s="105" t="e">
        <f t="shared" si="23"/>
        <v>#VALUE!</v>
      </c>
      <c r="L109" s="105" t="e">
        <f t="shared" si="23"/>
        <v>#VALUE!</v>
      </c>
      <c r="M109" s="105" t="e">
        <f t="shared" si="23"/>
        <v>#VALUE!</v>
      </c>
      <c r="N109" s="105" t="e">
        <f t="shared" si="23"/>
        <v>#VALUE!</v>
      </c>
      <c r="O109" s="105" t="e">
        <f t="shared" si="23"/>
        <v>#VALUE!</v>
      </c>
      <c r="P109" s="105" t="e">
        <f t="shared" si="23"/>
        <v>#VALUE!</v>
      </c>
      <c r="Q109" s="105" t="e">
        <f t="shared" si="23"/>
        <v>#VALUE!</v>
      </c>
      <c r="R109" s="105" t="e">
        <f t="shared" si="23"/>
        <v>#VALUE!</v>
      </c>
      <c r="S109" s="105" t="e">
        <f t="shared" si="23"/>
        <v>#VALUE!</v>
      </c>
      <c r="T109" s="105" t="e">
        <f t="shared" si="23"/>
        <v>#VALUE!</v>
      </c>
      <c r="U109" s="105" t="e">
        <f t="shared" si="23"/>
        <v>#VALUE!</v>
      </c>
      <c r="V109" s="105" t="e">
        <f t="shared" si="23"/>
        <v>#VALUE!</v>
      </c>
      <c r="W109" s="105" t="e">
        <f t="shared" si="23"/>
        <v>#VALUE!</v>
      </c>
      <c r="X109" s="105" t="e">
        <f t="shared" si="23"/>
        <v>#VALUE!</v>
      </c>
      <c r="Y109" s="105" t="e">
        <f t="shared" si="23"/>
        <v>#VALUE!</v>
      </c>
      <c r="Z109" s="105" t="e">
        <f t="shared" si="23"/>
        <v>#VALUE!</v>
      </c>
      <c r="AA109" s="105" t="e">
        <f t="shared" si="23"/>
        <v>#VALUE!</v>
      </c>
      <c r="AB109" s="105" t="e">
        <f t="shared" si="23"/>
        <v>#VALUE!</v>
      </c>
      <c r="AC109" s="105" t="e">
        <f t="shared" si="23"/>
        <v>#VALUE!</v>
      </c>
      <c r="AD109" s="105" t="e">
        <f t="shared" si="23"/>
        <v>#VALUE!</v>
      </c>
      <c r="AE109" s="105" t="e">
        <f t="shared" si="23"/>
        <v>#VALUE!</v>
      </c>
      <c r="AF109" s="105" t="e">
        <f t="shared" si="23"/>
        <v>#VALUE!</v>
      </c>
      <c r="AG109" s="105" t="e">
        <f t="shared" si="23"/>
        <v>#VALUE!</v>
      </c>
      <c r="AH109" s="105" t="e">
        <f t="shared" si="23"/>
        <v>#VALUE!</v>
      </c>
      <c r="AI109" s="105" t="e">
        <f t="shared" si="23"/>
        <v>#VALUE!</v>
      </c>
      <c r="AJ109" s="105" t="e">
        <f t="shared" si="23"/>
        <v>#VALUE!</v>
      </c>
      <c r="AK109" s="105" t="e">
        <f t="shared" si="23"/>
        <v>#VALUE!</v>
      </c>
      <c r="AL109" s="105" t="e">
        <f t="shared" si="23"/>
        <v>#VALUE!</v>
      </c>
      <c r="AM109" s="105" t="e">
        <f t="shared" si="23"/>
        <v>#VALUE!</v>
      </c>
      <c r="AN109" s="105" t="e">
        <f t="shared" si="23"/>
        <v>#VALUE!</v>
      </c>
      <c r="AO109" s="105" t="e">
        <f t="shared" si="23"/>
        <v>#VALUE!</v>
      </c>
    </row>
    <row r="110" spans="3:41">
      <c r="D110" s="48" t="s">
        <v>19</v>
      </c>
      <c r="E110" s="122" t="e">
        <f>E73</f>
        <v>#VALUE!</v>
      </c>
      <c r="F110" s="122" t="e">
        <f t="shared" ref="F110:AO110" si="24">F73</f>
        <v>#VALUE!</v>
      </c>
      <c r="G110" s="122" t="e">
        <f t="shared" si="24"/>
        <v>#VALUE!</v>
      </c>
      <c r="H110" s="122" t="e">
        <f t="shared" si="24"/>
        <v>#VALUE!</v>
      </c>
      <c r="I110" s="122" t="e">
        <f t="shared" si="24"/>
        <v>#VALUE!</v>
      </c>
      <c r="J110" s="122" t="e">
        <f t="shared" si="24"/>
        <v>#VALUE!</v>
      </c>
      <c r="K110" s="122" t="e">
        <f t="shared" si="24"/>
        <v>#VALUE!</v>
      </c>
      <c r="L110" s="122" t="e">
        <f t="shared" si="24"/>
        <v>#VALUE!</v>
      </c>
      <c r="M110" s="122" t="e">
        <f t="shared" si="24"/>
        <v>#VALUE!</v>
      </c>
      <c r="N110" s="122" t="e">
        <f t="shared" si="24"/>
        <v>#VALUE!</v>
      </c>
      <c r="O110" s="122" t="e">
        <f t="shared" si="24"/>
        <v>#VALUE!</v>
      </c>
      <c r="P110" s="122" t="e">
        <f t="shared" si="24"/>
        <v>#VALUE!</v>
      </c>
      <c r="Q110" s="122" t="e">
        <f t="shared" si="24"/>
        <v>#VALUE!</v>
      </c>
      <c r="R110" s="122" t="e">
        <f t="shared" si="24"/>
        <v>#VALUE!</v>
      </c>
      <c r="S110" s="122" t="e">
        <f t="shared" si="24"/>
        <v>#VALUE!</v>
      </c>
      <c r="T110" s="122" t="e">
        <f t="shared" si="24"/>
        <v>#VALUE!</v>
      </c>
      <c r="U110" s="122" t="e">
        <f t="shared" si="24"/>
        <v>#VALUE!</v>
      </c>
      <c r="V110" s="122" t="e">
        <f t="shared" si="24"/>
        <v>#VALUE!</v>
      </c>
      <c r="W110" s="122" t="e">
        <f t="shared" si="24"/>
        <v>#VALUE!</v>
      </c>
      <c r="X110" s="122" t="e">
        <f t="shared" si="24"/>
        <v>#VALUE!</v>
      </c>
      <c r="Y110" s="122" t="e">
        <f t="shared" si="24"/>
        <v>#VALUE!</v>
      </c>
      <c r="Z110" s="122" t="e">
        <f t="shared" si="24"/>
        <v>#VALUE!</v>
      </c>
      <c r="AA110" s="122" t="e">
        <f t="shared" si="24"/>
        <v>#VALUE!</v>
      </c>
      <c r="AB110" s="122" t="e">
        <f t="shared" si="24"/>
        <v>#VALUE!</v>
      </c>
      <c r="AC110" s="122" t="e">
        <f t="shared" si="24"/>
        <v>#VALUE!</v>
      </c>
      <c r="AD110" s="122" t="e">
        <f t="shared" si="24"/>
        <v>#VALUE!</v>
      </c>
      <c r="AE110" s="122" t="e">
        <f t="shared" si="24"/>
        <v>#VALUE!</v>
      </c>
      <c r="AF110" s="122" t="e">
        <f t="shared" si="24"/>
        <v>#VALUE!</v>
      </c>
      <c r="AG110" s="122" t="e">
        <f t="shared" si="24"/>
        <v>#VALUE!</v>
      </c>
      <c r="AH110" s="122" t="e">
        <f t="shared" si="24"/>
        <v>#VALUE!</v>
      </c>
      <c r="AI110" s="122" t="e">
        <f t="shared" si="24"/>
        <v>#VALUE!</v>
      </c>
      <c r="AJ110" s="122" t="e">
        <f t="shared" si="24"/>
        <v>#VALUE!</v>
      </c>
      <c r="AK110" s="122" t="e">
        <f t="shared" si="24"/>
        <v>#VALUE!</v>
      </c>
      <c r="AL110" s="122" t="e">
        <f t="shared" si="24"/>
        <v>#VALUE!</v>
      </c>
      <c r="AM110" s="122" t="e">
        <f t="shared" si="24"/>
        <v>#VALUE!</v>
      </c>
      <c r="AN110" s="122" t="e">
        <f t="shared" si="24"/>
        <v>#VALUE!</v>
      </c>
      <c r="AO110" s="122" t="e">
        <f t="shared" si="24"/>
        <v>#VALUE!</v>
      </c>
    </row>
    <row r="111" spans="3:41">
      <c r="D111" s="106">
        <f ca="1">TODAY()</f>
        <v>45184</v>
      </c>
      <c r="E111" s="110">
        <f ca="1">E37*$C$36+E74*$C$73</f>
        <v>0</v>
      </c>
      <c r="F111" s="110">
        <f t="shared" ref="F111:AO111" ca="1" si="25">F37*$C$36+F74*$C$73</f>
        <v>0</v>
      </c>
      <c r="G111" s="110">
        <f t="shared" ca="1" si="25"/>
        <v>0</v>
      </c>
      <c r="H111" s="110">
        <f t="shared" ca="1" si="25"/>
        <v>0</v>
      </c>
      <c r="I111" s="110">
        <f t="shared" ca="1" si="25"/>
        <v>0</v>
      </c>
      <c r="J111" s="110">
        <f t="shared" ca="1" si="25"/>
        <v>0</v>
      </c>
      <c r="K111" s="110">
        <f t="shared" ca="1" si="25"/>
        <v>0</v>
      </c>
      <c r="L111" s="110">
        <f t="shared" ca="1" si="25"/>
        <v>0</v>
      </c>
      <c r="M111" s="110">
        <f t="shared" ca="1" si="25"/>
        <v>0</v>
      </c>
      <c r="N111" s="110">
        <f t="shared" ca="1" si="25"/>
        <v>0</v>
      </c>
      <c r="O111" s="110">
        <f t="shared" ca="1" si="25"/>
        <v>0</v>
      </c>
      <c r="P111" s="110">
        <f t="shared" ca="1" si="25"/>
        <v>0</v>
      </c>
      <c r="Q111" s="110">
        <f t="shared" ca="1" si="25"/>
        <v>0</v>
      </c>
      <c r="R111" s="110">
        <f t="shared" ca="1" si="25"/>
        <v>0</v>
      </c>
      <c r="S111" s="110">
        <f t="shared" ca="1" si="25"/>
        <v>0</v>
      </c>
      <c r="T111" s="110">
        <f t="shared" ca="1" si="25"/>
        <v>0</v>
      </c>
      <c r="U111" s="110">
        <f t="shared" ca="1" si="25"/>
        <v>0</v>
      </c>
      <c r="V111" s="110">
        <f t="shared" ca="1" si="25"/>
        <v>0</v>
      </c>
      <c r="W111" s="110">
        <f t="shared" ca="1" si="25"/>
        <v>0</v>
      </c>
      <c r="X111" s="110">
        <f t="shared" ca="1" si="25"/>
        <v>0</v>
      </c>
      <c r="Y111" s="110">
        <f t="shared" ca="1" si="25"/>
        <v>0</v>
      </c>
      <c r="Z111" s="110">
        <f t="shared" ca="1" si="25"/>
        <v>0</v>
      </c>
      <c r="AA111" s="110">
        <f t="shared" ca="1" si="25"/>
        <v>0</v>
      </c>
      <c r="AB111" s="110">
        <f t="shared" ca="1" si="25"/>
        <v>0</v>
      </c>
      <c r="AC111" s="110">
        <f t="shared" ca="1" si="25"/>
        <v>0</v>
      </c>
      <c r="AD111" s="110">
        <f t="shared" ca="1" si="25"/>
        <v>0</v>
      </c>
      <c r="AE111" s="110">
        <f t="shared" ca="1" si="25"/>
        <v>0</v>
      </c>
      <c r="AF111" s="110">
        <f t="shared" ca="1" si="25"/>
        <v>0</v>
      </c>
      <c r="AG111" s="110">
        <f t="shared" ca="1" si="25"/>
        <v>0</v>
      </c>
      <c r="AH111" s="110">
        <f t="shared" ca="1" si="25"/>
        <v>0</v>
      </c>
      <c r="AI111" s="110">
        <f t="shared" ca="1" si="25"/>
        <v>0</v>
      </c>
      <c r="AJ111" s="110">
        <f t="shared" ca="1" si="25"/>
        <v>0</v>
      </c>
      <c r="AK111" s="110">
        <f t="shared" ca="1" si="25"/>
        <v>0</v>
      </c>
      <c r="AL111" s="110">
        <f t="shared" ca="1" si="25"/>
        <v>0</v>
      </c>
      <c r="AM111" s="110">
        <f t="shared" ca="1" si="25"/>
        <v>0</v>
      </c>
      <c r="AN111" s="110">
        <f t="shared" ca="1" si="25"/>
        <v>0</v>
      </c>
      <c r="AO111" s="110">
        <f t="shared" ca="1" si="25"/>
        <v>0</v>
      </c>
    </row>
    <row r="112" spans="3:41">
      <c r="C112" s="101">
        <f ca="1">WORKDAY(D111,1)</f>
        <v>45187</v>
      </c>
      <c r="D112" s="106">
        <f ca="1">WORKDAY(D111,1)</f>
        <v>45187</v>
      </c>
      <c r="E112" s="110">
        <f t="shared" ref="E112:AO112" ca="1" si="26">E38*$C$36+E75*$C$73</f>
        <v>0</v>
      </c>
      <c r="F112" s="110">
        <f t="shared" ca="1" si="26"/>
        <v>0</v>
      </c>
      <c r="G112" s="110">
        <f t="shared" ca="1" si="26"/>
        <v>0</v>
      </c>
      <c r="H112" s="110">
        <f t="shared" ca="1" si="26"/>
        <v>0</v>
      </c>
      <c r="I112" s="110">
        <f t="shared" ca="1" si="26"/>
        <v>0</v>
      </c>
      <c r="J112" s="110">
        <f t="shared" ca="1" si="26"/>
        <v>0</v>
      </c>
      <c r="K112" s="110">
        <f t="shared" ca="1" si="26"/>
        <v>0</v>
      </c>
      <c r="L112" s="110">
        <f t="shared" ca="1" si="26"/>
        <v>0</v>
      </c>
      <c r="M112" s="110">
        <f t="shared" ca="1" si="26"/>
        <v>0</v>
      </c>
      <c r="N112" s="110">
        <f t="shared" ca="1" si="26"/>
        <v>0</v>
      </c>
      <c r="O112" s="110">
        <f t="shared" ca="1" si="26"/>
        <v>0</v>
      </c>
      <c r="P112" s="110">
        <f t="shared" ca="1" si="26"/>
        <v>0</v>
      </c>
      <c r="Q112" s="110">
        <f t="shared" ca="1" si="26"/>
        <v>0</v>
      </c>
      <c r="R112" s="110">
        <f t="shared" ca="1" si="26"/>
        <v>0</v>
      </c>
      <c r="S112" s="110">
        <f t="shared" ca="1" si="26"/>
        <v>0</v>
      </c>
      <c r="T112" s="110">
        <f t="shared" ca="1" si="26"/>
        <v>0</v>
      </c>
      <c r="U112" s="110">
        <f t="shared" ca="1" si="26"/>
        <v>0</v>
      </c>
      <c r="V112" s="110">
        <f t="shared" ca="1" si="26"/>
        <v>0</v>
      </c>
      <c r="W112" s="110">
        <f t="shared" ca="1" si="26"/>
        <v>0</v>
      </c>
      <c r="X112" s="110">
        <f t="shared" ca="1" si="26"/>
        <v>0</v>
      </c>
      <c r="Y112" s="110">
        <f t="shared" ca="1" si="26"/>
        <v>0</v>
      </c>
      <c r="Z112" s="110">
        <f t="shared" ca="1" si="26"/>
        <v>0</v>
      </c>
      <c r="AA112" s="110">
        <f t="shared" ca="1" si="26"/>
        <v>0</v>
      </c>
      <c r="AB112" s="110">
        <f t="shared" ca="1" si="26"/>
        <v>0</v>
      </c>
      <c r="AC112" s="110">
        <f t="shared" ca="1" si="26"/>
        <v>0</v>
      </c>
      <c r="AD112" s="110">
        <f t="shared" ca="1" si="26"/>
        <v>0</v>
      </c>
      <c r="AE112" s="110">
        <f t="shared" ca="1" si="26"/>
        <v>0</v>
      </c>
      <c r="AF112" s="110">
        <f t="shared" ca="1" si="26"/>
        <v>0</v>
      </c>
      <c r="AG112" s="110">
        <f t="shared" ca="1" si="26"/>
        <v>0</v>
      </c>
      <c r="AH112" s="110">
        <f t="shared" ca="1" si="26"/>
        <v>0</v>
      </c>
      <c r="AI112" s="110">
        <f t="shared" ca="1" si="26"/>
        <v>0</v>
      </c>
      <c r="AJ112" s="110">
        <f t="shared" ca="1" si="26"/>
        <v>0</v>
      </c>
      <c r="AK112" s="110">
        <f t="shared" ca="1" si="26"/>
        <v>0</v>
      </c>
      <c r="AL112" s="110">
        <f t="shared" ca="1" si="26"/>
        <v>0</v>
      </c>
      <c r="AM112" s="110">
        <f t="shared" ca="1" si="26"/>
        <v>0</v>
      </c>
      <c r="AN112" s="110">
        <f t="shared" ca="1" si="26"/>
        <v>0</v>
      </c>
      <c r="AO112" s="110">
        <f t="shared" ca="1" si="26"/>
        <v>0</v>
      </c>
    </row>
    <row r="113" spans="3:41">
      <c r="C113" s="102"/>
      <c r="D113" s="106">
        <f t="shared" ref="D113:D142" ca="1" si="27">WORKDAY(D112,1)</f>
        <v>45188</v>
      </c>
      <c r="E113" s="110">
        <f t="shared" ref="E113:AO113" ca="1" si="28">E39*$C$36+E76*$C$73</f>
        <v>0</v>
      </c>
      <c r="F113" s="110">
        <f t="shared" ca="1" si="28"/>
        <v>0</v>
      </c>
      <c r="G113" s="110">
        <f t="shared" ca="1" si="28"/>
        <v>0</v>
      </c>
      <c r="H113" s="110">
        <f t="shared" ca="1" si="28"/>
        <v>0</v>
      </c>
      <c r="I113" s="110">
        <f t="shared" ca="1" si="28"/>
        <v>0</v>
      </c>
      <c r="J113" s="110">
        <f t="shared" ca="1" si="28"/>
        <v>0</v>
      </c>
      <c r="K113" s="110">
        <f t="shared" ca="1" si="28"/>
        <v>0</v>
      </c>
      <c r="L113" s="110">
        <f t="shared" ca="1" si="28"/>
        <v>0</v>
      </c>
      <c r="M113" s="110">
        <f t="shared" ca="1" si="28"/>
        <v>0</v>
      </c>
      <c r="N113" s="110">
        <f t="shared" ca="1" si="28"/>
        <v>0</v>
      </c>
      <c r="O113" s="110">
        <f t="shared" ca="1" si="28"/>
        <v>0</v>
      </c>
      <c r="P113" s="110">
        <f t="shared" ca="1" si="28"/>
        <v>0</v>
      </c>
      <c r="Q113" s="110">
        <f t="shared" ca="1" si="28"/>
        <v>0</v>
      </c>
      <c r="R113" s="110">
        <f t="shared" ca="1" si="28"/>
        <v>0</v>
      </c>
      <c r="S113" s="110">
        <f t="shared" ca="1" si="28"/>
        <v>0</v>
      </c>
      <c r="T113" s="110">
        <f t="shared" ca="1" si="28"/>
        <v>0</v>
      </c>
      <c r="U113" s="110">
        <f t="shared" ca="1" si="28"/>
        <v>0</v>
      </c>
      <c r="V113" s="110">
        <f t="shared" ca="1" si="28"/>
        <v>0</v>
      </c>
      <c r="W113" s="110">
        <f t="shared" ca="1" si="28"/>
        <v>0</v>
      </c>
      <c r="X113" s="110">
        <f t="shared" ca="1" si="28"/>
        <v>0</v>
      </c>
      <c r="Y113" s="110">
        <f t="shared" ca="1" si="28"/>
        <v>0</v>
      </c>
      <c r="Z113" s="110">
        <f t="shared" ca="1" si="28"/>
        <v>0</v>
      </c>
      <c r="AA113" s="110">
        <f t="shared" ca="1" si="28"/>
        <v>0</v>
      </c>
      <c r="AB113" s="110">
        <f t="shared" ca="1" si="28"/>
        <v>0</v>
      </c>
      <c r="AC113" s="110">
        <f t="shared" ca="1" si="28"/>
        <v>0</v>
      </c>
      <c r="AD113" s="110">
        <f t="shared" ca="1" si="28"/>
        <v>0</v>
      </c>
      <c r="AE113" s="110">
        <f t="shared" ca="1" si="28"/>
        <v>0</v>
      </c>
      <c r="AF113" s="110">
        <f t="shared" ca="1" si="28"/>
        <v>0</v>
      </c>
      <c r="AG113" s="110">
        <f t="shared" ca="1" si="28"/>
        <v>0</v>
      </c>
      <c r="AH113" s="110">
        <f t="shared" ca="1" si="28"/>
        <v>0</v>
      </c>
      <c r="AI113" s="110">
        <f t="shared" ca="1" si="28"/>
        <v>0</v>
      </c>
      <c r="AJ113" s="110">
        <f t="shared" ca="1" si="28"/>
        <v>0</v>
      </c>
      <c r="AK113" s="110">
        <f t="shared" ca="1" si="28"/>
        <v>0</v>
      </c>
      <c r="AL113" s="110">
        <f t="shared" ca="1" si="28"/>
        <v>0</v>
      </c>
      <c r="AM113" s="110">
        <f t="shared" ca="1" si="28"/>
        <v>0</v>
      </c>
      <c r="AN113" s="110">
        <f t="shared" ca="1" si="28"/>
        <v>0</v>
      </c>
      <c r="AO113" s="110">
        <f t="shared" ca="1" si="28"/>
        <v>0</v>
      </c>
    </row>
    <row r="114" spans="3:41">
      <c r="C114" s="103"/>
      <c r="D114" s="106">
        <f t="shared" ca="1" si="27"/>
        <v>45189</v>
      </c>
      <c r="E114" s="110">
        <f t="shared" ref="E114:AO114" ca="1" si="29">E40*$C$36+E77*$C$73</f>
        <v>0</v>
      </c>
      <c r="F114" s="110">
        <f t="shared" ca="1" si="29"/>
        <v>0</v>
      </c>
      <c r="G114" s="110">
        <f t="shared" ca="1" si="29"/>
        <v>0</v>
      </c>
      <c r="H114" s="110">
        <f t="shared" ca="1" si="29"/>
        <v>0</v>
      </c>
      <c r="I114" s="110">
        <f t="shared" ca="1" si="29"/>
        <v>0</v>
      </c>
      <c r="J114" s="110">
        <f t="shared" ca="1" si="29"/>
        <v>0</v>
      </c>
      <c r="K114" s="110">
        <f t="shared" ca="1" si="29"/>
        <v>0</v>
      </c>
      <c r="L114" s="110">
        <f t="shared" ca="1" si="29"/>
        <v>0</v>
      </c>
      <c r="M114" s="110">
        <f t="shared" ca="1" si="29"/>
        <v>0</v>
      </c>
      <c r="N114" s="110">
        <f t="shared" ca="1" si="29"/>
        <v>0</v>
      </c>
      <c r="O114" s="110">
        <f t="shared" ca="1" si="29"/>
        <v>0</v>
      </c>
      <c r="P114" s="110">
        <f t="shared" ca="1" si="29"/>
        <v>0</v>
      </c>
      <c r="Q114" s="110">
        <f t="shared" ca="1" si="29"/>
        <v>0</v>
      </c>
      <c r="R114" s="110">
        <f t="shared" ca="1" si="29"/>
        <v>0</v>
      </c>
      <c r="S114" s="110">
        <f t="shared" ca="1" si="29"/>
        <v>0</v>
      </c>
      <c r="T114" s="110">
        <f t="shared" ca="1" si="29"/>
        <v>0</v>
      </c>
      <c r="U114" s="110">
        <f t="shared" ca="1" si="29"/>
        <v>0</v>
      </c>
      <c r="V114" s="110">
        <f t="shared" ca="1" si="29"/>
        <v>0</v>
      </c>
      <c r="W114" s="110">
        <f t="shared" ca="1" si="29"/>
        <v>0</v>
      </c>
      <c r="X114" s="110">
        <f t="shared" ca="1" si="29"/>
        <v>0</v>
      </c>
      <c r="Y114" s="110">
        <f t="shared" ca="1" si="29"/>
        <v>0</v>
      </c>
      <c r="Z114" s="110">
        <f t="shared" ca="1" si="29"/>
        <v>0</v>
      </c>
      <c r="AA114" s="110">
        <f t="shared" ca="1" si="29"/>
        <v>0</v>
      </c>
      <c r="AB114" s="110">
        <f t="shared" ca="1" si="29"/>
        <v>0</v>
      </c>
      <c r="AC114" s="110">
        <f t="shared" ca="1" si="29"/>
        <v>0</v>
      </c>
      <c r="AD114" s="110">
        <f t="shared" ca="1" si="29"/>
        <v>0</v>
      </c>
      <c r="AE114" s="110">
        <f t="shared" ca="1" si="29"/>
        <v>0</v>
      </c>
      <c r="AF114" s="110">
        <f t="shared" ca="1" si="29"/>
        <v>0</v>
      </c>
      <c r="AG114" s="110">
        <f t="shared" ca="1" si="29"/>
        <v>0</v>
      </c>
      <c r="AH114" s="110">
        <f t="shared" ca="1" si="29"/>
        <v>0</v>
      </c>
      <c r="AI114" s="110">
        <f t="shared" ca="1" si="29"/>
        <v>0</v>
      </c>
      <c r="AJ114" s="110">
        <f t="shared" ca="1" si="29"/>
        <v>0</v>
      </c>
      <c r="AK114" s="110">
        <f t="shared" ca="1" si="29"/>
        <v>0</v>
      </c>
      <c r="AL114" s="110">
        <f t="shared" ca="1" si="29"/>
        <v>0</v>
      </c>
      <c r="AM114" s="110">
        <f t="shared" ca="1" si="29"/>
        <v>0</v>
      </c>
      <c r="AN114" s="110">
        <f t="shared" ca="1" si="29"/>
        <v>0</v>
      </c>
      <c r="AO114" s="110">
        <f t="shared" ca="1" si="29"/>
        <v>0</v>
      </c>
    </row>
    <row r="115" spans="3:41">
      <c r="C115" s="103"/>
      <c r="D115" s="106">
        <f t="shared" ca="1" si="27"/>
        <v>45190</v>
      </c>
      <c r="E115" s="110">
        <f t="shared" ref="E115:AO115" ca="1" si="30">E41*$C$36+E78*$C$73</f>
        <v>0</v>
      </c>
      <c r="F115" s="110">
        <f t="shared" ca="1" si="30"/>
        <v>0</v>
      </c>
      <c r="G115" s="110">
        <f t="shared" ca="1" si="30"/>
        <v>0</v>
      </c>
      <c r="H115" s="110">
        <f t="shared" ca="1" si="30"/>
        <v>0</v>
      </c>
      <c r="I115" s="110">
        <f t="shared" ca="1" si="30"/>
        <v>0</v>
      </c>
      <c r="J115" s="110">
        <f t="shared" ca="1" si="30"/>
        <v>0</v>
      </c>
      <c r="K115" s="110">
        <f t="shared" ca="1" si="30"/>
        <v>0</v>
      </c>
      <c r="L115" s="110">
        <f t="shared" ca="1" si="30"/>
        <v>0</v>
      </c>
      <c r="M115" s="110">
        <f t="shared" ca="1" si="30"/>
        <v>0</v>
      </c>
      <c r="N115" s="110">
        <f t="shared" ca="1" si="30"/>
        <v>0</v>
      </c>
      <c r="O115" s="110">
        <f t="shared" ca="1" si="30"/>
        <v>0</v>
      </c>
      <c r="P115" s="110">
        <f t="shared" ca="1" si="30"/>
        <v>0</v>
      </c>
      <c r="Q115" s="110">
        <f t="shared" ca="1" si="30"/>
        <v>0</v>
      </c>
      <c r="R115" s="110">
        <f t="shared" ca="1" si="30"/>
        <v>0</v>
      </c>
      <c r="S115" s="110">
        <f t="shared" ca="1" si="30"/>
        <v>0</v>
      </c>
      <c r="T115" s="110">
        <f t="shared" ca="1" si="30"/>
        <v>0</v>
      </c>
      <c r="U115" s="110">
        <f t="shared" ca="1" si="30"/>
        <v>0</v>
      </c>
      <c r="V115" s="110">
        <f t="shared" ca="1" si="30"/>
        <v>0</v>
      </c>
      <c r="W115" s="110">
        <f t="shared" ca="1" si="30"/>
        <v>0</v>
      </c>
      <c r="X115" s="110">
        <f t="shared" ca="1" si="30"/>
        <v>0</v>
      </c>
      <c r="Y115" s="110">
        <f t="shared" ca="1" si="30"/>
        <v>0</v>
      </c>
      <c r="Z115" s="110">
        <f t="shared" ca="1" si="30"/>
        <v>0</v>
      </c>
      <c r="AA115" s="110">
        <f t="shared" ca="1" si="30"/>
        <v>0</v>
      </c>
      <c r="AB115" s="110">
        <f t="shared" ca="1" si="30"/>
        <v>0</v>
      </c>
      <c r="AC115" s="110">
        <f t="shared" ca="1" si="30"/>
        <v>0</v>
      </c>
      <c r="AD115" s="110">
        <f t="shared" ca="1" si="30"/>
        <v>0</v>
      </c>
      <c r="AE115" s="110">
        <f t="shared" ca="1" si="30"/>
        <v>0</v>
      </c>
      <c r="AF115" s="110">
        <f t="shared" ca="1" si="30"/>
        <v>0</v>
      </c>
      <c r="AG115" s="110">
        <f t="shared" ca="1" si="30"/>
        <v>0</v>
      </c>
      <c r="AH115" s="110">
        <f t="shared" ca="1" si="30"/>
        <v>0</v>
      </c>
      <c r="AI115" s="110">
        <f t="shared" ca="1" si="30"/>
        <v>0</v>
      </c>
      <c r="AJ115" s="110">
        <f t="shared" ca="1" si="30"/>
        <v>0</v>
      </c>
      <c r="AK115" s="110">
        <f t="shared" ca="1" si="30"/>
        <v>0</v>
      </c>
      <c r="AL115" s="110">
        <f t="shared" ca="1" si="30"/>
        <v>0</v>
      </c>
      <c r="AM115" s="110">
        <f t="shared" ca="1" si="30"/>
        <v>0</v>
      </c>
      <c r="AN115" s="110">
        <f t="shared" ca="1" si="30"/>
        <v>0</v>
      </c>
      <c r="AO115" s="110">
        <f t="shared" ca="1" si="30"/>
        <v>0</v>
      </c>
    </row>
    <row r="116" spans="3:41">
      <c r="D116" s="106">
        <f t="shared" ca="1" si="27"/>
        <v>45191</v>
      </c>
      <c r="E116" s="110">
        <f t="shared" ref="E116:AO116" ca="1" si="31">E42*$C$36+E79*$C$73</f>
        <v>0</v>
      </c>
      <c r="F116" s="110">
        <f t="shared" ca="1" si="31"/>
        <v>0</v>
      </c>
      <c r="G116" s="110">
        <f t="shared" ca="1" si="31"/>
        <v>0</v>
      </c>
      <c r="H116" s="110">
        <f t="shared" ca="1" si="31"/>
        <v>0</v>
      </c>
      <c r="I116" s="110">
        <f t="shared" ca="1" si="31"/>
        <v>0</v>
      </c>
      <c r="J116" s="110">
        <f t="shared" ca="1" si="31"/>
        <v>0</v>
      </c>
      <c r="K116" s="110">
        <f t="shared" ca="1" si="31"/>
        <v>0</v>
      </c>
      <c r="L116" s="110">
        <f t="shared" ca="1" si="31"/>
        <v>0</v>
      </c>
      <c r="M116" s="110">
        <f t="shared" ca="1" si="31"/>
        <v>0</v>
      </c>
      <c r="N116" s="110">
        <f t="shared" ca="1" si="31"/>
        <v>0</v>
      </c>
      <c r="O116" s="110">
        <f t="shared" ca="1" si="31"/>
        <v>0</v>
      </c>
      <c r="P116" s="110">
        <f t="shared" ca="1" si="31"/>
        <v>0</v>
      </c>
      <c r="Q116" s="110">
        <f t="shared" ca="1" si="31"/>
        <v>0</v>
      </c>
      <c r="R116" s="110">
        <f t="shared" ca="1" si="31"/>
        <v>0</v>
      </c>
      <c r="S116" s="110">
        <f t="shared" ca="1" si="31"/>
        <v>0</v>
      </c>
      <c r="T116" s="110">
        <f t="shared" ca="1" si="31"/>
        <v>0</v>
      </c>
      <c r="U116" s="110">
        <f t="shared" ca="1" si="31"/>
        <v>0</v>
      </c>
      <c r="V116" s="110">
        <f t="shared" ca="1" si="31"/>
        <v>0</v>
      </c>
      <c r="W116" s="110">
        <f t="shared" ca="1" si="31"/>
        <v>0</v>
      </c>
      <c r="X116" s="110">
        <f t="shared" ca="1" si="31"/>
        <v>0</v>
      </c>
      <c r="Y116" s="110">
        <f t="shared" ca="1" si="31"/>
        <v>0</v>
      </c>
      <c r="Z116" s="110">
        <f t="shared" ca="1" si="31"/>
        <v>0</v>
      </c>
      <c r="AA116" s="110">
        <f t="shared" ca="1" si="31"/>
        <v>0</v>
      </c>
      <c r="AB116" s="110">
        <f t="shared" ca="1" si="31"/>
        <v>0</v>
      </c>
      <c r="AC116" s="110">
        <f t="shared" ca="1" si="31"/>
        <v>0</v>
      </c>
      <c r="AD116" s="110">
        <f t="shared" ca="1" si="31"/>
        <v>0</v>
      </c>
      <c r="AE116" s="110">
        <f t="shared" ca="1" si="31"/>
        <v>0</v>
      </c>
      <c r="AF116" s="110">
        <f t="shared" ca="1" si="31"/>
        <v>0</v>
      </c>
      <c r="AG116" s="110">
        <f t="shared" ca="1" si="31"/>
        <v>0</v>
      </c>
      <c r="AH116" s="110">
        <f t="shared" ca="1" si="31"/>
        <v>0</v>
      </c>
      <c r="AI116" s="110">
        <f t="shared" ca="1" si="31"/>
        <v>0</v>
      </c>
      <c r="AJ116" s="110">
        <f t="shared" ca="1" si="31"/>
        <v>0</v>
      </c>
      <c r="AK116" s="110">
        <f t="shared" ca="1" si="31"/>
        <v>0</v>
      </c>
      <c r="AL116" s="110">
        <f t="shared" ca="1" si="31"/>
        <v>0</v>
      </c>
      <c r="AM116" s="110">
        <f t="shared" ca="1" si="31"/>
        <v>0</v>
      </c>
      <c r="AN116" s="110">
        <f t="shared" ca="1" si="31"/>
        <v>0</v>
      </c>
      <c r="AO116" s="110">
        <f t="shared" ca="1" si="31"/>
        <v>0</v>
      </c>
    </row>
    <row r="117" spans="3:41">
      <c r="D117" s="106">
        <f t="shared" ca="1" si="27"/>
        <v>45194</v>
      </c>
      <c r="E117" s="110">
        <f t="shared" ref="E117:AO117" ca="1" si="32">E43*$C$36+E80*$C$73</f>
        <v>0</v>
      </c>
      <c r="F117" s="110">
        <f t="shared" ca="1" si="32"/>
        <v>0</v>
      </c>
      <c r="G117" s="110">
        <f t="shared" ca="1" si="32"/>
        <v>0</v>
      </c>
      <c r="H117" s="110">
        <f t="shared" ca="1" si="32"/>
        <v>0</v>
      </c>
      <c r="I117" s="110">
        <f t="shared" ca="1" si="32"/>
        <v>0</v>
      </c>
      <c r="J117" s="110">
        <f t="shared" ca="1" si="32"/>
        <v>0</v>
      </c>
      <c r="K117" s="110">
        <f t="shared" ca="1" si="32"/>
        <v>0</v>
      </c>
      <c r="L117" s="110">
        <f t="shared" ca="1" si="32"/>
        <v>0</v>
      </c>
      <c r="M117" s="110">
        <f t="shared" ca="1" si="32"/>
        <v>0</v>
      </c>
      <c r="N117" s="110">
        <f t="shared" ca="1" si="32"/>
        <v>0</v>
      </c>
      <c r="O117" s="110">
        <f t="shared" ca="1" si="32"/>
        <v>0</v>
      </c>
      <c r="P117" s="110">
        <f t="shared" ca="1" si="32"/>
        <v>0</v>
      </c>
      <c r="Q117" s="110">
        <f t="shared" ca="1" si="32"/>
        <v>0</v>
      </c>
      <c r="R117" s="110">
        <f t="shared" ca="1" si="32"/>
        <v>0</v>
      </c>
      <c r="S117" s="110">
        <f t="shared" ca="1" si="32"/>
        <v>0</v>
      </c>
      <c r="T117" s="110">
        <f t="shared" ca="1" si="32"/>
        <v>0</v>
      </c>
      <c r="U117" s="110">
        <f t="shared" ca="1" si="32"/>
        <v>0</v>
      </c>
      <c r="V117" s="110">
        <f t="shared" ca="1" si="32"/>
        <v>0</v>
      </c>
      <c r="W117" s="110">
        <f t="shared" ca="1" si="32"/>
        <v>0</v>
      </c>
      <c r="X117" s="110">
        <f t="shared" ca="1" si="32"/>
        <v>0</v>
      </c>
      <c r="Y117" s="110">
        <f t="shared" ca="1" si="32"/>
        <v>0</v>
      </c>
      <c r="Z117" s="110">
        <f t="shared" ca="1" si="32"/>
        <v>0</v>
      </c>
      <c r="AA117" s="110">
        <f t="shared" ca="1" si="32"/>
        <v>0</v>
      </c>
      <c r="AB117" s="110">
        <f t="shared" ca="1" si="32"/>
        <v>0</v>
      </c>
      <c r="AC117" s="110">
        <f t="shared" ca="1" si="32"/>
        <v>0</v>
      </c>
      <c r="AD117" s="110">
        <f t="shared" ca="1" si="32"/>
        <v>0</v>
      </c>
      <c r="AE117" s="110">
        <f t="shared" ca="1" si="32"/>
        <v>0</v>
      </c>
      <c r="AF117" s="110">
        <f t="shared" ca="1" si="32"/>
        <v>0</v>
      </c>
      <c r="AG117" s="110">
        <f t="shared" ca="1" si="32"/>
        <v>0</v>
      </c>
      <c r="AH117" s="110">
        <f t="shared" ca="1" si="32"/>
        <v>0</v>
      </c>
      <c r="AI117" s="110">
        <f t="shared" ca="1" si="32"/>
        <v>0</v>
      </c>
      <c r="AJ117" s="110">
        <f t="shared" ca="1" si="32"/>
        <v>0</v>
      </c>
      <c r="AK117" s="110">
        <f t="shared" ca="1" si="32"/>
        <v>0</v>
      </c>
      <c r="AL117" s="110">
        <f t="shared" ca="1" si="32"/>
        <v>0</v>
      </c>
      <c r="AM117" s="110">
        <f t="shared" ca="1" si="32"/>
        <v>0</v>
      </c>
      <c r="AN117" s="110">
        <f t="shared" ca="1" si="32"/>
        <v>0</v>
      </c>
      <c r="AO117" s="110">
        <f t="shared" ca="1" si="32"/>
        <v>0</v>
      </c>
    </row>
    <row r="118" spans="3:41">
      <c r="D118" s="106">
        <f t="shared" ca="1" si="27"/>
        <v>45195</v>
      </c>
      <c r="E118" s="110">
        <f t="shared" ref="E118:AO118" ca="1" si="33">E44*$C$36+E81*$C$73</f>
        <v>0</v>
      </c>
      <c r="F118" s="110">
        <f t="shared" ca="1" si="33"/>
        <v>0</v>
      </c>
      <c r="G118" s="110">
        <f t="shared" ca="1" si="33"/>
        <v>0</v>
      </c>
      <c r="H118" s="110">
        <f t="shared" ca="1" si="33"/>
        <v>0</v>
      </c>
      <c r="I118" s="110">
        <f t="shared" ca="1" si="33"/>
        <v>0</v>
      </c>
      <c r="J118" s="110">
        <f t="shared" ca="1" si="33"/>
        <v>0</v>
      </c>
      <c r="K118" s="110">
        <f t="shared" ca="1" si="33"/>
        <v>0</v>
      </c>
      <c r="L118" s="110">
        <f t="shared" ca="1" si="33"/>
        <v>0</v>
      </c>
      <c r="M118" s="110">
        <f t="shared" ca="1" si="33"/>
        <v>0</v>
      </c>
      <c r="N118" s="110">
        <f t="shared" ca="1" si="33"/>
        <v>0</v>
      </c>
      <c r="O118" s="110">
        <f t="shared" ca="1" si="33"/>
        <v>0</v>
      </c>
      <c r="P118" s="110">
        <f t="shared" ca="1" si="33"/>
        <v>0</v>
      </c>
      <c r="Q118" s="110">
        <f t="shared" ca="1" si="33"/>
        <v>0</v>
      </c>
      <c r="R118" s="110">
        <f t="shared" ca="1" si="33"/>
        <v>0</v>
      </c>
      <c r="S118" s="110">
        <f t="shared" ca="1" si="33"/>
        <v>0</v>
      </c>
      <c r="T118" s="110">
        <f t="shared" ca="1" si="33"/>
        <v>0</v>
      </c>
      <c r="U118" s="110">
        <f t="shared" ca="1" si="33"/>
        <v>0</v>
      </c>
      <c r="V118" s="110">
        <f t="shared" ca="1" si="33"/>
        <v>0</v>
      </c>
      <c r="W118" s="110">
        <f t="shared" ca="1" si="33"/>
        <v>0</v>
      </c>
      <c r="X118" s="110">
        <f t="shared" ca="1" si="33"/>
        <v>0</v>
      </c>
      <c r="Y118" s="110">
        <f t="shared" ca="1" si="33"/>
        <v>0</v>
      </c>
      <c r="Z118" s="110">
        <f t="shared" ca="1" si="33"/>
        <v>0</v>
      </c>
      <c r="AA118" s="110">
        <f t="shared" ca="1" si="33"/>
        <v>0</v>
      </c>
      <c r="AB118" s="110">
        <f t="shared" ca="1" si="33"/>
        <v>0</v>
      </c>
      <c r="AC118" s="110">
        <f t="shared" ca="1" si="33"/>
        <v>0</v>
      </c>
      <c r="AD118" s="110">
        <f t="shared" ca="1" si="33"/>
        <v>0</v>
      </c>
      <c r="AE118" s="110">
        <f t="shared" ca="1" si="33"/>
        <v>0</v>
      </c>
      <c r="AF118" s="110">
        <f t="shared" ca="1" si="33"/>
        <v>0</v>
      </c>
      <c r="AG118" s="110">
        <f t="shared" ca="1" si="33"/>
        <v>0</v>
      </c>
      <c r="AH118" s="110">
        <f t="shared" ca="1" si="33"/>
        <v>0</v>
      </c>
      <c r="AI118" s="110">
        <f t="shared" ca="1" si="33"/>
        <v>0</v>
      </c>
      <c r="AJ118" s="110">
        <f t="shared" ca="1" si="33"/>
        <v>0</v>
      </c>
      <c r="AK118" s="110">
        <f t="shared" ca="1" si="33"/>
        <v>0</v>
      </c>
      <c r="AL118" s="110">
        <f t="shared" ca="1" si="33"/>
        <v>0</v>
      </c>
      <c r="AM118" s="110">
        <f t="shared" ca="1" si="33"/>
        <v>0</v>
      </c>
      <c r="AN118" s="110">
        <f t="shared" ca="1" si="33"/>
        <v>0</v>
      </c>
      <c r="AO118" s="110">
        <f t="shared" ca="1" si="33"/>
        <v>0</v>
      </c>
    </row>
    <row r="119" spans="3:41">
      <c r="D119" s="106">
        <f t="shared" ca="1" si="27"/>
        <v>45196</v>
      </c>
      <c r="E119" s="110">
        <f t="shared" ref="E119:AO119" ca="1" si="34">E45*$C$36+E82*$C$73</f>
        <v>0</v>
      </c>
      <c r="F119" s="110">
        <f t="shared" ca="1" si="34"/>
        <v>0</v>
      </c>
      <c r="G119" s="110">
        <f t="shared" ca="1" si="34"/>
        <v>0</v>
      </c>
      <c r="H119" s="110">
        <f t="shared" ca="1" si="34"/>
        <v>0</v>
      </c>
      <c r="I119" s="110">
        <f t="shared" ca="1" si="34"/>
        <v>0</v>
      </c>
      <c r="J119" s="110">
        <f t="shared" ca="1" si="34"/>
        <v>0</v>
      </c>
      <c r="K119" s="110">
        <f t="shared" ca="1" si="34"/>
        <v>0</v>
      </c>
      <c r="L119" s="110">
        <f t="shared" ca="1" si="34"/>
        <v>0</v>
      </c>
      <c r="M119" s="110">
        <f t="shared" ca="1" si="34"/>
        <v>0</v>
      </c>
      <c r="N119" s="110">
        <f t="shared" ca="1" si="34"/>
        <v>0</v>
      </c>
      <c r="O119" s="110">
        <f t="shared" ca="1" si="34"/>
        <v>0</v>
      </c>
      <c r="P119" s="110">
        <f t="shared" ca="1" si="34"/>
        <v>0</v>
      </c>
      <c r="Q119" s="110">
        <f t="shared" ca="1" si="34"/>
        <v>0</v>
      </c>
      <c r="R119" s="110">
        <f t="shared" ca="1" si="34"/>
        <v>0</v>
      </c>
      <c r="S119" s="110">
        <f t="shared" ca="1" si="34"/>
        <v>0</v>
      </c>
      <c r="T119" s="110">
        <f t="shared" ca="1" si="34"/>
        <v>0</v>
      </c>
      <c r="U119" s="110">
        <f t="shared" ca="1" si="34"/>
        <v>0</v>
      </c>
      <c r="V119" s="110">
        <f t="shared" ca="1" si="34"/>
        <v>0</v>
      </c>
      <c r="W119" s="110">
        <f t="shared" ca="1" si="34"/>
        <v>0</v>
      </c>
      <c r="X119" s="110">
        <f t="shared" ca="1" si="34"/>
        <v>0</v>
      </c>
      <c r="Y119" s="110">
        <f t="shared" ca="1" si="34"/>
        <v>0</v>
      </c>
      <c r="Z119" s="110">
        <f t="shared" ca="1" si="34"/>
        <v>0</v>
      </c>
      <c r="AA119" s="110">
        <f t="shared" ca="1" si="34"/>
        <v>0</v>
      </c>
      <c r="AB119" s="110">
        <f t="shared" ca="1" si="34"/>
        <v>0</v>
      </c>
      <c r="AC119" s="110">
        <f t="shared" ca="1" si="34"/>
        <v>0</v>
      </c>
      <c r="AD119" s="110">
        <f t="shared" ca="1" si="34"/>
        <v>0</v>
      </c>
      <c r="AE119" s="110">
        <f t="shared" ca="1" si="34"/>
        <v>0</v>
      </c>
      <c r="AF119" s="110">
        <f t="shared" ca="1" si="34"/>
        <v>0</v>
      </c>
      <c r="AG119" s="110">
        <f t="shared" ca="1" si="34"/>
        <v>0</v>
      </c>
      <c r="AH119" s="110">
        <f t="shared" ca="1" si="34"/>
        <v>0</v>
      </c>
      <c r="AI119" s="110">
        <f t="shared" ca="1" si="34"/>
        <v>0</v>
      </c>
      <c r="AJ119" s="110">
        <f t="shared" ca="1" si="34"/>
        <v>0</v>
      </c>
      <c r="AK119" s="110">
        <f t="shared" ca="1" si="34"/>
        <v>0</v>
      </c>
      <c r="AL119" s="110">
        <f t="shared" ca="1" si="34"/>
        <v>0</v>
      </c>
      <c r="AM119" s="110">
        <f t="shared" ca="1" si="34"/>
        <v>0</v>
      </c>
      <c r="AN119" s="110">
        <f t="shared" ca="1" si="34"/>
        <v>0</v>
      </c>
      <c r="AO119" s="110">
        <f t="shared" ca="1" si="34"/>
        <v>0</v>
      </c>
    </row>
    <row r="120" spans="3:41">
      <c r="D120" s="106">
        <f t="shared" ca="1" si="27"/>
        <v>45197</v>
      </c>
      <c r="E120" s="110">
        <f t="shared" ref="E120:AO120" ca="1" si="35">E46*$C$36+E83*$C$73</f>
        <v>0</v>
      </c>
      <c r="F120" s="110">
        <f t="shared" ca="1" si="35"/>
        <v>0</v>
      </c>
      <c r="G120" s="110">
        <f t="shared" ca="1" si="35"/>
        <v>0</v>
      </c>
      <c r="H120" s="110">
        <f t="shared" ca="1" si="35"/>
        <v>0</v>
      </c>
      <c r="I120" s="110">
        <f t="shared" ca="1" si="35"/>
        <v>0</v>
      </c>
      <c r="J120" s="110">
        <f t="shared" ca="1" si="35"/>
        <v>0</v>
      </c>
      <c r="K120" s="110">
        <f t="shared" ca="1" si="35"/>
        <v>0</v>
      </c>
      <c r="L120" s="110">
        <f t="shared" ca="1" si="35"/>
        <v>0</v>
      </c>
      <c r="M120" s="110">
        <f t="shared" ca="1" si="35"/>
        <v>0</v>
      </c>
      <c r="N120" s="110">
        <f t="shared" ca="1" si="35"/>
        <v>0</v>
      </c>
      <c r="O120" s="110">
        <f t="shared" ca="1" si="35"/>
        <v>0</v>
      </c>
      <c r="P120" s="110">
        <f t="shared" ca="1" si="35"/>
        <v>0</v>
      </c>
      <c r="Q120" s="110">
        <f t="shared" ca="1" si="35"/>
        <v>0</v>
      </c>
      <c r="R120" s="110">
        <f t="shared" ca="1" si="35"/>
        <v>0</v>
      </c>
      <c r="S120" s="110">
        <f t="shared" ca="1" si="35"/>
        <v>0</v>
      </c>
      <c r="T120" s="110">
        <f t="shared" ca="1" si="35"/>
        <v>0</v>
      </c>
      <c r="U120" s="110">
        <f t="shared" ca="1" si="35"/>
        <v>0</v>
      </c>
      <c r="V120" s="110">
        <f t="shared" ca="1" si="35"/>
        <v>0</v>
      </c>
      <c r="W120" s="110">
        <f t="shared" ca="1" si="35"/>
        <v>0</v>
      </c>
      <c r="X120" s="110">
        <f t="shared" ca="1" si="35"/>
        <v>0</v>
      </c>
      <c r="Y120" s="110">
        <f t="shared" ca="1" si="35"/>
        <v>0</v>
      </c>
      <c r="Z120" s="110">
        <f t="shared" ca="1" si="35"/>
        <v>0</v>
      </c>
      <c r="AA120" s="110">
        <f t="shared" ca="1" si="35"/>
        <v>0</v>
      </c>
      <c r="AB120" s="110">
        <f t="shared" ca="1" si="35"/>
        <v>0</v>
      </c>
      <c r="AC120" s="110">
        <f t="shared" ca="1" si="35"/>
        <v>0</v>
      </c>
      <c r="AD120" s="110">
        <f t="shared" ca="1" si="35"/>
        <v>0</v>
      </c>
      <c r="AE120" s="110">
        <f t="shared" ca="1" si="35"/>
        <v>0</v>
      </c>
      <c r="AF120" s="110">
        <f t="shared" ca="1" si="35"/>
        <v>0</v>
      </c>
      <c r="AG120" s="110">
        <f t="shared" ca="1" si="35"/>
        <v>0</v>
      </c>
      <c r="AH120" s="110">
        <f t="shared" ca="1" si="35"/>
        <v>0</v>
      </c>
      <c r="AI120" s="110">
        <f t="shared" ca="1" si="35"/>
        <v>0</v>
      </c>
      <c r="AJ120" s="110">
        <f t="shared" ca="1" si="35"/>
        <v>0</v>
      </c>
      <c r="AK120" s="110">
        <f t="shared" ca="1" si="35"/>
        <v>0</v>
      </c>
      <c r="AL120" s="110">
        <f t="shared" ca="1" si="35"/>
        <v>0</v>
      </c>
      <c r="AM120" s="110">
        <f t="shared" ca="1" si="35"/>
        <v>0</v>
      </c>
      <c r="AN120" s="110">
        <f t="shared" ca="1" si="35"/>
        <v>0</v>
      </c>
      <c r="AO120" s="110">
        <f t="shared" ca="1" si="35"/>
        <v>0</v>
      </c>
    </row>
    <row r="121" spans="3:41">
      <c r="D121" s="106">
        <f t="shared" ca="1" si="27"/>
        <v>45198</v>
      </c>
      <c r="E121" s="110">
        <f t="shared" ref="E121:AO121" ca="1" si="36">E47*$C$36+E84*$C$73</f>
        <v>0</v>
      </c>
      <c r="F121" s="110">
        <f t="shared" ca="1" si="36"/>
        <v>0</v>
      </c>
      <c r="G121" s="110">
        <f t="shared" ca="1" si="36"/>
        <v>0</v>
      </c>
      <c r="H121" s="110">
        <f t="shared" ca="1" si="36"/>
        <v>0</v>
      </c>
      <c r="I121" s="110">
        <f t="shared" ca="1" si="36"/>
        <v>0</v>
      </c>
      <c r="J121" s="110">
        <f t="shared" ca="1" si="36"/>
        <v>0</v>
      </c>
      <c r="K121" s="110">
        <f t="shared" ca="1" si="36"/>
        <v>0</v>
      </c>
      <c r="L121" s="110">
        <f t="shared" ca="1" si="36"/>
        <v>0</v>
      </c>
      <c r="M121" s="110">
        <f t="shared" ca="1" si="36"/>
        <v>0</v>
      </c>
      <c r="N121" s="110">
        <f t="shared" ca="1" si="36"/>
        <v>0</v>
      </c>
      <c r="O121" s="110">
        <f t="shared" ca="1" si="36"/>
        <v>0</v>
      </c>
      <c r="P121" s="110">
        <f t="shared" ca="1" si="36"/>
        <v>0</v>
      </c>
      <c r="Q121" s="110">
        <f t="shared" ca="1" si="36"/>
        <v>0</v>
      </c>
      <c r="R121" s="110">
        <f t="shared" ca="1" si="36"/>
        <v>0</v>
      </c>
      <c r="S121" s="110">
        <f t="shared" ca="1" si="36"/>
        <v>0</v>
      </c>
      <c r="T121" s="110">
        <f t="shared" ca="1" si="36"/>
        <v>0</v>
      </c>
      <c r="U121" s="110">
        <f t="shared" ca="1" si="36"/>
        <v>0</v>
      </c>
      <c r="V121" s="110">
        <f t="shared" ca="1" si="36"/>
        <v>0</v>
      </c>
      <c r="W121" s="110">
        <f t="shared" ca="1" si="36"/>
        <v>0</v>
      </c>
      <c r="X121" s="110">
        <f t="shared" ca="1" si="36"/>
        <v>0</v>
      </c>
      <c r="Y121" s="110">
        <f t="shared" ca="1" si="36"/>
        <v>0</v>
      </c>
      <c r="Z121" s="110">
        <f t="shared" ca="1" si="36"/>
        <v>0</v>
      </c>
      <c r="AA121" s="110">
        <f t="shared" ca="1" si="36"/>
        <v>0</v>
      </c>
      <c r="AB121" s="110">
        <f t="shared" ca="1" si="36"/>
        <v>0</v>
      </c>
      <c r="AC121" s="110">
        <f t="shared" ca="1" si="36"/>
        <v>0</v>
      </c>
      <c r="AD121" s="110">
        <f t="shared" ca="1" si="36"/>
        <v>0</v>
      </c>
      <c r="AE121" s="110">
        <f t="shared" ca="1" si="36"/>
        <v>0</v>
      </c>
      <c r="AF121" s="110">
        <f t="shared" ca="1" si="36"/>
        <v>0</v>
      </c>
      <c r="AG121" s="110">
        <f t="shared" ca="1" si="36"/>
        <v>0</v>
      </c>
      <c r="AH121" s="110">
        <f t="shared" ca="1" si="36"/>
        <v>0</v>
      </c>
      <c r="AI121" s="110">
        <f t="shared" ca="1" si="36"/>
        <v>0</v>
      </c>
      <c r="AJ121" s="110">
        <f t="shared" ca="1" si="36"/>
        <v>0</v>
      </c>
      <c r="AK121" s="110">
        <f t="shared" ca="1" si="36"/>
        <v>0</v>
      </c>
      <c r="AL121" s="110">
        <f t="shared" ca="1" si="36"/>
        <v>0</v>
      </c>
      <c r="AM121" s="110">
        <f t="shared" ca="1" si="36"/>
        <v>0</v>
      </c>
      <c r="AN121" s="110">
        <f t="shared" ca="1" si="36"/>
        <v>0</v>
      </c>
      <c r="AO121" s="110">
        <f t="shared" ca="1" si="36"/>
        <v>0</v>
      </c>
    </row>
    <row r="122" spans="3:41">
      <c r="D122" s="106">
        <f t="shared" ca="1" si="27"/>
        <v>45201</v>
      </c>
      <c r="E122" s="110">
        <f t="shared" ref="E122:AO122" ca="1" si="37">E48*$C$36+E85*$C$73</f>
        <v>0</v>
      </c>
      <c r="F122" s="110">
        <f t="shared" ca="1" si="37"/>
        <v>0</v>
      </c>
      <c r="G122" s="110">
        <f t="shared" ca="1" si="37"/>
        <v>0</v>
      </c>
      <c r="H122" s="110">
        <f t="shared" ca="1" si="37"/>
        <v>0</v>
      </c>
      <c r="I122" s="110">
        <f t="shared" ca="1" si="37"/>
        <v>0</v>
      </c>
      <c r="J122" s="110">
        <f t="shared" ca="1" si="37"/>
        <v>0</v>
      </c>
      <c r="K122" s="110">
        <f t="shared" ca="1" si="37"/>
        <v>0</v>
      </c>
      <c r="L122" s="110">
        <f t="shared" ca="1" si="37"/>
        <v>0</v>
      </c>
      <c r="M122" s="110">
        <f t="shared" ca="1" si="37"/>
        <v>0</v>
      </c>
      <c r="N122" s="110">
        <f t="shared" ca="1" si="37"/>
        <v>0</v>
      </c>
      <c r="O122" s="110">
        <f t="shared" ca="1" si="37"/>
        <v>0</v>
      </c>
      <c r="P122" s="110">
        <f t="shared" ca="1" si="37"/>
        <v>0</v>
      </c>
      <c r="Q122" s="110">
        <f t="shared" ca="1" si="37"/>
        <v>0</v>
      </c>
      <c r="R122" s="110">
        <f t="shared" ca="1" si="37"/>
        <v>0</v>
      </c>
      <c r="S122" s="110">
        <f t="shared" ca="1" si="37"/>
        <v>0</v>
      </c>
      <c r="T122" s="110">
        <f t="shared" ca="1" si="37"/>
        <v>0</v>
      </c>
      <c r="U122" s="110">
        <f t="shared" ca="1" si="37"/>
        <v>0</v>
      </c>
      <c r="V122" s="110">
        <f t="shared" ca="1" si="37"/>
        <v>0</v>
      </c>
      <c r="W122" s="110">
        <f t="shared" ca="1" si="37"/>
        <v>0</v>
      </c>
      <c r="X122" s="110">
        <f t="shared" ca="1" si="37"/>
        <v>0</v>
      </c>
      <c r="Y122" s="110">
        <f t="shared" ca="1" si="37"/>
        <v>0</v>
      </c>
      <c r="Z122" s="110">
        <f t="shared" ca="1" si="37"/>
        <v>0</v>
      </c>
      <c r="AA122" s="110">
        <f t="shared" ca="1" si="37"/>
        <v>0</v>
      </c>
      <c r="AB122" s="110">
        <f t="shared" ca="1" si="37"/>
        <v>0</v>
      </c>
      <c r="AC122" s="110">
        <f t="shared" ca="1" si="37"/>
        <v>0</v>
      </c>
      <c r="AD122" s="110">
        <f t="shared" ca="1" si="37"/>
        <v>0</v>
      </c>
      <c r="AE122" s="110">
        <f t="shared" ca="1" si="37"/>
        <v>0</v>
      </c>
      <c r="AF122" s="110">
        <f t="shared" ca="1" si="37"/>
        <v>0</v>
      </c>
      <c r="AG122" s="110">
        <f t="shared" ca="1" si="37"/>
        <v>0</v>
      </c>
      <c r="AH122" s="110">
        <f t="shared" ca="1" si="37"/>
        <v>0</v>
      </c>
      <c r="AI122" s="110">
        <f t="shared" ca="1" si="37"/>
        <v>0</v>
      </c>
      <c r="AJ122" s="110">
        <f t="shared" ca="1" si="37"/>
        <v>0</v>
      </c>
      <c r="AK122" s="110">
        <f t="shared" ca="1" si="37"/>
        <v>0</v>
      </c>
      <c r="AL122" s="110">
        <f t="shared" ca="1" si="37"/>
        <v>0</v>
      </c>
      <c r="AM122" s="110">
        <f t="shared" ca="1" si="37"/>
        <v>0</v>
      </c>
      <c r="AN122" s="110">
        <f t="shared" ca="1" si="37"/>
        <v>0</v>
      </c>
      <c r="AO122" s="110">
        <f t="shared" ca="1" si="37"/>
        <v>0</v>
      </c>
    </row>
    <row r="123" spans="3:41">
      <c r="D123" s="106">
        <f t="shared" ca="1" si="27"/>
        <v>45202</v>
      </c>
      <c r="E123" s="110">
        <f t="shared" ref="E123:AO123" ca="1" si="38">E49*$C$36+E86*$C$73</f>
        <v>0</v>
      </c>
      <c r="F123" s="110">
        <f t="shared" ca="1" si="38"/>
        <v>0</v>
      </c>
      <c r="G123" s="110">
        <f t="shared" ca="1" si="38"/>
        <v>0</v>
      </c>
      <c r="H123" s="110">
        <f t="shared" ca="1" si="38"/>
        <v>0</v>
      </c>
      <c r="I123" s="110">
        <f t="shared" ca="1" si="38"/>
        <v>0</v>
      </c>
      <c r="J123" s="110">
        <f t="shared" ca="1" si="38"/>
        <v>0</v>
      </c>
      <c r="K123" s="110">
        <f t="shared" ca="1" si="38"/>
        <v>0</v>
      </c>
      <c r="L123" s="110">
        <f t="shared" ca="1" si="38"/>
        <v>0</v>
      </c>
      <c r="M123" s="110">
        <f t="shared" ca="1" si="38"/>
        <v>0</v>
      </c>
      <c r="N123" s="110">
        <f t="shared" ca="1" si="38"/>
        <v>0</v>
      </c>
      <c r="O123" s="110">
        <f t="shared" ca="1" si="38"/>
        <v>0</v>
      </c>
      <c r="P123" s="110">
        <f t="shared" ca="1" si="38"/>
        <v>0</v>
      </c>
      <c r="Q123" s="110">
        <f t="shared" ca="1" si="38"/>
        <v>0</v>
      </c>
      <c r="R123" s="110">
        <f t="shared" ca="1" si="38"/>
        <v>0</v>
      </c>
      <c r="S123" s="110">
        <f t="shared" ca="1" si="38"/>
        <v>0</v>
      </c>
      <c r="T123" s="110">
        <f t="shared" ca="1" si="38"/>
        <v>0</v>
      </c>
      <c r="U123" s="110">
        <f t="shared" ca="1" si="38"/>
        <v>0</v>
      </c>
      <c r="V123" s="110">
        <f t="shared" ca="1" si="38"/>
        <v>0</v>
      </c>
      <c r="W123" s="110">
        <f t="shared" ca="1" si="38"/>
        <v>0</v>
      </c>
      <c r="X123" s="110">
        <f t="shared" ca="1" si="38"/>
        <v>0</v>
      </c>
      <c r="Y123" s="110">
        <f t="shared" ca="1" si="38"/>
        <v>0</v>
      </c>
      <c r="Z123" s="110">
        <f t="shared" ca="1" si="38"/>
        <v>0</v>
      </c>
      <c r="AA123" s="110">
        <f t="shared" ca="1" si="38"/>
        <v>0</v>
      </c>
      <c r="AB123" s="110">
        <f t="shared" ca="1" si="38"/>
        <v>0</v>
      </c>
      <c r="AC123" s="110">
        <f t="shared" ca="1" si="38"/>
        <v>0</v>
      </c>
      <c r="AD123" s="110">
        <f t="shared" ca="1" si="38"/>
        <v>0</v>
      </c>
      <c r="AE123" s="110">
        <f t="shared" ca="1" si="38"/>
        <v>0</v>
      </c>
      <c r="AF123" s="110">
        <f t="shared" ca="1" si="38"/>
        <v>0</v>
      </c>
      <c r="AG123" s="110">
        <f t="shared" ca="1" si="38"/>
        <v>0</v>
      </c>
      <c r="AH123" s="110">
        <f t="shared" ca="1" si="38"/>
        <v>0</v>
      </c>
      <c r="AI123" s="110">
        <f t="shared" ca="1" si="38"/>
        <v>0</v>
      </c>
      <c r="AJ123" s="110">
        <f t="shared" ca="1" si="38"/>
        <v>0</v>
      </c>
      <c r="AK123" s="110">
        <f t="shared" ca="1" si="38"/>
        <v>0</v>
      </c>
      <c r="AL123" s="110">
        <f t="shared" ca="1" si="38"/>
        <v>0</v>
      </c>
      <c r="AM123" s="110">
        <f t="shared" ca="1" si="38"/>
        <v>0</v>
      </c>
      <c r="AN123" s="110">
        <f t="shared" ca="1" si="38"/>
        <v>0</v>
      </c>
      <c r="AO123" s="110">
        <f t="shared" ca="1" si="38"/>
        <v>0</v>
      </c>
    </row>
    <row r="124" spans="3:41">
      <c r="D124" s="106">
        <f t="shared" ca="1" si="27"/>
        <v>45203</v>
      </c>
      <c r="E124" s="110">
        <f t="shared" ref="E124:AO124" ca="1" si="39">E50*$C$36+E87*$C$73</f>
        <v>0</v>
      </c>
      <c r="F124" s="110">
        <f t="shared" ca="1" si="39"/>
        <v>0</v>
      </c>
      <c r="G124" s="110">
        <f t="shared" ca="1" si="39"/>
        <v>0</v>
      </c>
      <c r="H124" s="110">
        <f t="shared" ca="1" si="39"/>
        <v>0</v>
      </c>
      <c r="I124" s="110">
        <f t="shared" ca="1" si="39"/>
        <v>0</v>
      </c>
      <c r="J124" s="110">
        <f t="shared" ca="1" si="39"/>
        <v>0</v>
      </c>
      <c r="K124" s="110">
        <f t="shared" ca="1" si="39"/>
        <v>0</v>
      </c>
      <c r="L124" s="110">
        <f t="shared" ca="1" si="39"/>
        <v>0</v>
      </c>
      <c r="M124" s="110">
        <f t="shared" ca="1" si="39"/>
        <v>0</v>
      </c>
      <c r="N124" s="110">
        <f t="shared" ca="1" si="39"/>
        <v>0</v>
      </c>
      <c r="O124" s="110">
        <f t="shared" ca="1" si="39"/>
        <v>0</v>
      </c>
      <c r="P124" s="110">
        <f t="shared" ca="1" si="39"/>
        <v>0</v>
      </c>
      <c r="Q124" s="110">
        <f t="shared" ca="1" si="39"/>
        <v>0</v>
      </c>
      <c r="R124" s="110">
        <f t="shared" ca="1" si="39"/>
        <v>0</v>
      </c>
      <c r="S124" s="110">
        <f t="shared" ca="1" si="39"/>
        <v>0</v>
      </c>
      <c r="T124" s="110">
        <f t="shared" ca="1" si="39"/>
        <v>0</v>
      </c>
      <c r="U124" s="110">
        <f t="shared" ca="1" si="39"/>
        <v>0</v>
      </c>
      <c r="V124" s="110">
        <f t="shared" ca="1" si="39"/>
        <v>0</v>
      </c>
      <c r="W124" s="110">
        <f t="shared" ca="1" si="39"/>
        <v>0</v>
      </c>
      <c r="X124" s="110">
        <f t="shared" ca="1" si="39"/>
        <v>0</v>
      </c>
      <c r="Y124" s="110">
        <f t="shared" ca="1" si="39"/>
        <v>0</v>
      </c>
      <c r="Z124" s="110">
        <f t="shared" ca="1" si="39"/>
        <v>0</v>
      </c>
      <c r="AA124" s="110">
        <f t="shared" ca="1" si="39"/>
        <v>0</v>
      </c>
      <c r="AB124" s="110">
        <f t="shared" ca="1" si="39"/>
        <v>0</v>
      </c>
      <c r="AC124" s="110">
        <f t="shared" ca="1" si="39"/>
        <v>0</v>
      </c>
      <c r="AD124" s="110">
        <f t="shared" ca="1" si="39"/>
        <v>0</v>
      </c>
      <c r="AE124" s="110">
        <f t="shared" ca="1" si="39"/>
        <v>0</v>
      </c>
      <c r="AF124" s="110">
        <f t="shared" ca="1" si="39"/>
        <v>0</v>
      </c>
      <c r="AG124" s="110">
        <f t="shared" ca="1" si="39"/>
        <v>0</v>
      </c>
      <c r="AH124" s="110">
        <f t="shared" ca="1" si="39"/>
        <v>0</v>
      </c>
      <c r="AI124" s="110">
        <f t="shared" ca="1" si="39"/>
        <v>0</v>
      </c>
      <c r="AJ124" s="110">
        <f t="shared" ca="1" si="39"/>
        <v>0</v>
      </c>
      <c r="AK124" s="110">
        <f t="shared" ca="1" si="39"/>
        <v>0</v>
      </c>
      <c r="AL124" s="110">
        <f t="shared" ca="1" si="39"/>
        <v>0</v>
      </c>
      <c r="AM124" s="110">
        <f t="shared" ca="1" si="39"/>
        <v>0</v>
      </c>
      <c r="AN124" s="110">
        <f t="shared" ca="1" si="39"/>
        <v>0</v>
      </c>
      <c r="AO124" s="110">
        <f t="shared" ca="1" si="39"/>
        <v>0</v>
      </c>
    </row>
    <row r="125" spans="3:41">
      <c r="D125" s="106">
        <f t="shared" ca="1" si="27"/>
        <v>45204</v>
      </c>
      <c r="E125" s="110">
        <f t="shared" ref="E125:AO125" ca="1" si="40">E51*$C$36+E88*$C$73</f>
        <v>0</v>
      </c>
      <c r="F125" s="110">
        <f t="shared" ca="1" si="40"/>
        <v>0</v>
      </c>
      <c r="G125" s="110">
        <f t="shared" ca="1" si="40"/>
        <v>0</v>
      </c>
      <c r="H125" s="110">
        <f t="shared" ca="1" si="40"/>
        <v>0</v>
      </c>
      <c r="I125" s="110">
        <f t="shared" ca="1" si="40"/>
        <v>0</v>
      </c>
      <c r="J125" s="110">
        <f t="shared" ca="1" si="40"/>
        <v>0</v>
      </c>
      <c r="K125" s="110">
        <f t="shared" ca="1" si="40"/>
        <v>0</v>
      </c>
      <c r="L125" s="110">
        <f t="shared" ca="1" si="40"/>
        <v>0</v>
      </c>
      <c r="M125" s="110">
        <f t="shared" ca="1" si="40"/>
        <v>0</v>
      </c>
      <c r="N125" s="110">
        <f t="shared" ca="1" si="40"/>
        <v>0</v>
      </c>
      <c r="O125" s="110">
        <f t="shared" ca="1" si="40"/>
        <v>0</v>
      </c>
      <c r="P125" s="110">
        <f t="shared" ca="1" si="40"/>
        <v>0</v>
      </c>
      <c r="Q125" s="110">
        <f t="shared" ca="1" si="40"/>
        <v>0</v>
      </c>
      <c r="R125" s="110">
        <f t="shared" ca="1" si="40"/>
        <v>0</v>
      </c>
      <c r="S125" s="110">
        <f t="shared" ca="1" si="40"/>
        <v>0</v>
      </c>
      <c r="T125" s="110">
        <f t="shared" ca="1" si="40"/>
        <v>0</v>
      </c>
      <c r="U125" s="110">
        <f t="shared" ca="1" si="40"/>
        <v>0</v>
      </c>
      <c r="V125" s="110">
        <f t="shared" ca="1" si="40"/>
        <v>0</v>
      </c>
      <c r="W125" s="110">
        <f t="shared" ca="1" si="40"/>
        <v>0</v>
      </c>
      <c r="X125" s="110">
        <f t="shared" ca="1" si="40"/>
        <v>0</v>
      </c>
      <c r="Y125" s="110">
        <f t="shared" ca="1" si="40"/>
        <v>0</v>
      </c>
      <c r="Z125" s="110">
        <f t="shared" ca="1" si="40"/>
        <v>0</v>
      </c>
      <c r="AA125" s="110">
        <f t="shared" ca="1" si="40"/>
        <v>0</v>
      </c>
      <c r="AB125" s="110">
        <f t="shared" ca="1" si="40"/>
        <v>0</v>
      </c>
      <c r="AC125" s="110">
        <f t="shared" ca="1" si="40"/>
        <v>0</v>
      </c>
      <c r="AD125" s="110">
        <f t="shared" ca="1" si="40"/>
        <v>0</v>
      </c>
      <c r="AE125" s="110">
        <f t="shared" ca="1" si="40"/>
        <v>0</v>
      </c>
      <c r="AF125" s="110">
        <f t="shared" ca="1" si="40"/>
        <v>0</v>
      </c>
      <c r="AG125" s="110">
        <f t="shared" ca="1" si="40"/>
        <v>0</v>
      </c>
      <c r="AH125" s="110">
        <f t="shared" ca="1" si="40"/>
        <v>0</v>
      </c>
      <c r="AI125" s="110">
        <f t="shared" ca="1" si="40"/>
        <v>0</v>
      </c>
      <c r="AJ125" s="110">
        <f t="shared" ca="1" si="40"/>
        <v>0</v>
      </c>
      <c r="AK125" s="110">
        <f t="shared" ca="1" si="40"/>
        <v>0</v>
      </c>
      <c r="AL125" s="110">
        <f t="shared" ca="1" si="40"/>
        <v>0</v>
      </c>
      <c r="AM125" s="110">
        <f t="shared" ca="1" si="40"/>
        <v>0</v>
      </c>
      <c r="AN125" s="110">
        <f t="shared" ca="1" si="40"/>
        <v>0</v>
      </c>
      <c r="AO125" s="110">
        <f t="shared" ca="1" si="40"/>
        <v>0</v>
      </c>
    </row>
    <row r="126" spans="3:41">
      <c r="D126" s="106">
        <f t="shared" ca="1" si="27"/>
        <v>45205</v>
      </c>
      <c r="E126" s="110">
        <f t="shared" ref="E126:AO126" ca="1" si="41">E52*$C$36+E89*$C$73</f>
        <v>0</v>
      </c>
      <c r="F126" s="110">
        <f t="shared" ca="1" si="41"/>
        <v>0</v>
      </c>
      <c r="G126" s="110">
        <f t="shared" ca="1" si="41"/>
        <v>0</v>
      </c>
      <c r="H126" s="110">
        <f t="shared" ca="1" si="41"/>
        <v>0</v>
      </c>
      <c r="I126" s="110">
        <f t="shared" ca="1" si="41"/>
        <v>0</v>
      </c>
      <c r="J126" s="110">
        <f t="shared" ca="1" si="41"/>
        <v>0</v>
      </c>
      <c r="K126" s="110">
        <f t="shared" ca="1" si="41"/>
        <v>0</v>
      </c>
      <c r="L126" s="110">
        <f t="shared" ca="1" si="41"/>
        <v>0</v>
      </c>
      <c r="M126" s="110">
        <f t="shared" ca="1" si="41"/>
        <v>0</v>
      </c>
      <c r="N126" s="110">
        <f t="shared" ca="1" si="41"/>
        <v>0</v>
      </c>
      <c r="O126" s="110">
        <f t="shared" ca="1" si="41"/>
        <v>0</v>
      </c>
      <c r="P126" s="110">
        <f t="shared" ca="1" si="41"/>
        <v>0</v>
      </c>
      <c r="Q126" s="110">
        <f t="shared" ca="1" si="41"/>
        <v>0</v>
      </c>
      <c r="R126" s="110">
        <f t="shared" ca="1" si="41"/>
        <v>0</v>
      </c>
      <c r="S126" s="110">
        <f t="shared" ca="1" si="41"/>
        <v>0</v>
      </c>
      <c r="T126" s="110">
        <f t="shared" ca="1" si="41"/>
        <v>0</v>
      </c>
      <c r="U126" s="110">
        <f t="shared" ca="1" si="41"/>
        <v>0</v>
      </c>
      <c r="V126" s="110">
        <f t="shared" ca="1" si="41"/>
        <v>0</v>
      </c>
      <c r="W126" s="110">
        <f t="shared" ca="1" si="41"/>
        <v>0</v>
      </c>
      <c r="X126" s="110">
        <f t="shared" ca="1" si="41"/>
        <v>0</v>
      </c>
      <c r="Y126" s="110">
        <f t="shared" ca="1" si="41"/>
        <v>0</v>
      </c>
      <c r="Z126" s="110">
        <f t="shared" ca="1" si="41"/>
        <v>0</v>
      </c>
      <c r="AA126" s="110">
        <f t="shared" ca="1" si="41"/>
        <v>0</v>
      </c>
      <c r="AB126" s="110">
        <f t="shared" ca="1" si="41"/>
        <v>0</v>
      </c>
      <c r="AC126" s="110">
        <f t="shared" ca="1" si="41"/>
        <v>0</v>
      </c>
      <c r="AD126" s="110">
        <f t="shared" ca="1" si="41"/>
        <v>0</v>
      </c>
      <c r="AE126" s="110">
        <f t="shared" ca="1" si="41"/>
        <v>0</v>
      </c>
      <c r="AF126" s="110">
        <f t="shared" ca="1" si="41"/>
        <v>0</v>
      </c>
      <c r="AG126" s="110">
        <f t="shared" ca="1" si="41"/>
        <v>0</v>
      </c>
      <c r="AH126" s="110">
        <f t="shared" ca="1" si="41"/>
        <v>0</v>
      </c>
      <c r="AI126" s="110">
        <f t="shared" ca="1" si="41"/>
        <v>0</v>
      </c>
      <c r="AJ126" s="110">
        <f t="shared" ca="1" si="41"/>
        <v>0</v>
      </c>
      <c r="AK126" s="110">
        <f t="shared" ca="1" si="41"/>
        <v>0</v>
      </c>
      <c r="AL126" s="110">
        <f t="shared" ca="1" si="41"/>
        <v>0</v>
      </c>
      <c r="AM126" s="110">
        <f t="shared" ca="1" si="41"/>
        <v>0</v>
      </c>
      <c r="AN126" s="110">
        <f t="shared" ca="1" si="41"/>
        <v>0</v>
      </c>
      <c r="AO126" s="110">
        <f t="shared" ca="1" si="41"/>
        <v>0</v>
      </c>
    </row>
    <row r="127" spans="3:41">
      <c r="D127" s="106">
        <f t="shared" ca="1" si="27"/>
        <v>45208</v>
      </c>
      <c r="E127" s="110">
        <f t="shared" ref="E127:AO127" ca="1" si="42">E53*$C$36+E90*$C$73</f>
        <v>0</v>
      </c>
      <c r="F127" s="110">
        <f t="shared" ca="1" si="42"/>
        <v>0</v>
      </c>
      <c r="G127" s="110">
        <f t="shared" ca="1" si="42"/>
        <v>0</v>
      </c>
      <c r="H127" s="110">
        <f t="shared" ca="1" si="42"/>
        <v>0</v>
      </c>
      <c r="I127" s="110">
        <f t="shared" ca="1" si="42"/>
        <v>0</v>
      </c>
      <c r="J127" s="110">
        <f t="shared" ca="1" si="42"/>
        <v>0</v>
      </c>
      <c r="K127" s="110">
        <f t="shared" ca="1" si="42"/>
        <v>0</v>
      </c>
      <c r="L127" s="110">
        <f t="shared" ca="1" si="42"/>
        <v>0</v>
      </c>
      <c r="M127" s="110">
        <f t="shared" ca="1" si="42"/>
        <v>0</v>
      </c>
      <c r="N127" s="110">
        <f t="shared" ca="1" si="42"/>
        <v>0</v>
      </c>
      <c r="O127" s="110">
        <f t="shared" ca="1" si="42"/>
        <v>0</v>
      </c>
      <c r="P127" s="110">
        <f t="shared" ca="1" si="42"/>
        <v>0</v>
      </c>
      <c r="Q127" s="110">
        <f t="shared" ca="1" si="42"/>
        <v>0</v>
      </c>
      <c r="R127" s="110">
        <f t="shared" ca="1" si="42"/>
        <v>0</v>
      </c>
      <c r="S127" s="110">
        <f t="shared" ca="1" si="42"/>
        <v>0</v>
      </c>
      <c r="T127" s="110">
        <f t="shared" ca="1" si="42"/>
        <v>0</v>
      </c>
      <c r="U127" s="110">
        <f t="shared" ca="1" si="42"/>
        <v>0</v>
      </c>
      <c r="V127" s="110">
        <f t="shared" ca="1" si="42"/>
        <v>0</v>
      </c>
      <c r="W127" s="110">
        <f t="shared" ca="1" si="42"/>
        <v>0</v>
      </c>
      <c r="X127" s="110">
        <f t="shared" ca="1" si="42"/>
        <v>0</v>
      </c>
      <c r="Y127" s="110">
        <f t="shared" ca="1" si="42"/>
        <v>0</v>
      </c>
      <c r="Z127" s="110">
        <f t="shared" ca="1" si="42"/>
        <v>0</v>
      </c>
      <c r="AA127" s="110">
        <f t="shared" ca="1" si="42"/>
        <v>0</v>
      </c>
      <c r="AB127" s="110">
        <f t="shared" ca="1" si="42"/>
        <v>0</v>
      </c>
      <c r="AC127" s="110">
        <f t="shared" ca="1" si="42"/>
        <v>0</v>
      </c>
      <c r="AD127" s="110">
        <f t="shared" ca="1" si="42"/>
        <v>0</v>
      </c>
      <c r="AE127" s="110">
        <f t="shared" ca="1" si="42"/>
        <v>0</v>
      </c>
      <c r="AF127" s="110">
        <f t="shared" ca="1" si="42"/>
        <v>0</v>
      </c>
      <c r="AG127" s="110">
        <f t="shared" ca="1" si="42"/>
        <v>0</v>
      </c>
      <c r="AH127" s="110">
        <f t="shared" ca="1" si="42"/>
        <v>0</v>
      </c>
      <c r="AI127" s="110">
        <f t="shared" ca="1" si="42"/>
        <v>0</v>
      </c>
      <c r="AJ127" s="110">
        <f t="shared" ca="1" si="42"/>
        <v>0</v>
      </c>
      <c r="AK127" s="110">
        <f t="shared" ca="1" si="42"/>
        <v>0</v>
      </c>
      <c r="AL127" s="110">
        <f t="shared" ca="1" si="42"/>
        <v>0</v>
      </c>
      <c r="AM127" s="110">
        <f t="shared" ca="1" si="42"/>
        <v>0</v>
      </c>
      <c r="AN127" s="110">
        <f t="shared" ca="1" si="42"/>
        <v>0</v>
      </c>
      <c r="AO127" s="110">
        <f t="shared" ca="1" si="42"/>
        <v>0</v>
      </c>
    </row>
    <row r="128" spans="3:41">
      <c r="D128" s="106">
        <f t="shared" ca="1" si="27"/>
        <v>45209</v>
      </c>
      <c r="E128" s="110">
        <f t="shared" ref="E128:AO128" ca="1" si="43">E54*$C$36+E91*$C$73</f>
        <v>0</v>
      </c>
      <c r="F128" s="110">
        <f t="shared" ca="1" si="43"/>
        <v>0</v>
      </c>
      <c r="G128" s="110">
        <f t="shared" ca="1" si="43"/>
        <v>0</v>
      </c>
      <c r="H128" s="110">
        <f t="shared" ca="1" si="43"/>
        <v>0</v>
      </c>
      <c r="I128" s="110">
        <f t="shared" ca="1" si="43"/>
        <v>0</v>
      </c>
      <c r="J128" s="110">
        <f t="shared" ca="1" si="43"/>
        <v>0</v>
      </c>
      <c r="K128" s="110">
        <f t="shared" ca="1" si="43"/>
        <v>0</v>
      </c>
      <c r="L128" s="110">
        <f t="shared" ca="1" si="43"/>
        <v>0</v>
      </c>
      <c r="M128" s="110">
        <f t="shared" ca="1" si="43"/>
        <v>0</v>
      </c>
      <c r="N128" s="110">
        <f t="shared" ca="1" si="43"/>
        <v>0</v>
      </c>
      <c r="O128" s="110">
        <f t="shared" ca="1" si="43"/>
        <v>0</v>
      </c>
      <c r="P128" s="110">
        <f t="shared" ca="1" si="43"/>
        <v>0</v>
      </c>
      <c r="Q128" s="110">
        <f t="shared" ca="1" si="43"/>
        <v>0</v>
      </c>
      <c r="R128" s="110">
        <f t="shared" ca="1" si="43"/>
        <v>0</v>
      </c>
      <c r="S128" s="110">
        <f t="shared" ca="1" si="43"/>
        <v>0</v>
      </c>
      <c r="T128" s="110">
        <f t="shared" ca="1" si="43"/>
        <v>0</v>
      </c>
      <c r="U128" s="110">
        <f t="shared" ca="1" si="43"/>
        <v>0</v>
      </c>
      <c r="V128" s="110">
        <f t="shared" ca="1" si="43"/>
        <v>0</v>
      </c>
      <c r="W128" s="110">
        <f t="shared" ca="1" si="43"/>
        <v>0</v>
      </c>
      <c r="X128" s="110">
        <f t="shared" ca="1" si="43"/>
        <v>0</v>
      </c>
      <c r="Y128" s="110">
        <f t="shared" ca="1" si="43"/>
        <v>0</v>
      </c>
      <c r="Z128" s="110">
        <f t="shared" ca="1" si="43"/>
        <v>0</v>
      </c>
      <c r="AA128" s="110">
        <f t="shared" ca="1" si="43"/>
        <v>0</v>
      </c>
      <c r="AB128" s="110">
        <f t="shared" ca="1" si="43"/>
        <v>0</v>
      </c>
      <c r="AC128" s="110">
        <f t="shared" ca="1" si="43"/>
        <v>0</v>
      </c>
      <c r="AD128" s="110">
        <f t="shared" ca="1" si="43"/>
        <v>0</v>
      </c>
      <c r="AE128" s="110">
        <f t="shared" ca="1" si="43"/>
        <v>0</v>
      </c>
      <c r="AF128" s="110">
        <f t="shared" ca="1" si="43"/>
        <v>0</v>
      </c>
      <c r="AG128" s="110">
        <f t="shared" ca="1" si="43"/>
        <v>0</v>
      </c>
      <c r="AH128" s="110">
        <f t="shared" ca="1" si="43"/>
        <v>0</v>
      </c>
      <c r="AI128" s="110">
        <f t="shared" ca="1" si="43"/>
        <v>0</v>
      </c>
      <c r="AJ128" s="110">
        <f t="shared" ca="1" si="43"/>
        <v>0</v>
      </c>
      <c r="AK128" s="110">
        <f t="shared" ca="1" si="43"/>
        <v>0</v>
      </c>
      <c r="AL128" s="110">
        <f t="shared" ca="1" si="43"/>
        <v>0</v>
      </c>
      <c r="AM128" s="110">
        <f t="shared" ca="1" si="43"/>
        <v>0</v>
      </c>
      <c r="AN128" s="110">
        <f t="shared" ca="1" si="43"/>
        <v>0</v>
      </c>
      <c r="AO128" s="110">
        <f t="shared" ca="1" si="43"/>
        <v>0</v>
      </c>
    </row>
    <row r="129" spans="4:41">
      <c r="D129" s="106">
        <f t="shared" ca="1" si="27"/>
        <v>45210</v>
      </c>
      <c r="E129" s="110">
        <f t="shared" ref="E129:AO129" ca="1" si="44">E55*$C$36+E92*$C$73</f>
        <v>0</v>
      </c>
      <c r="F129" s="110">
        <f t="shared" ca="1" si="44"/>
        <v>0</v>
      </c>
      <c r="G129" s="110">
        <f t="shared" ca="1" si="44"/>
        <v>0</v>
      </c>
      <c r="H129" s="110">
        <f t="shared" ca="1" si="44"/>
        <v>0</v>
      </c>
      <c r="I129" s="110">
        <f t="shared" ca="1" si="44"/>
        <v>0</v>
      </c>
      <c r="J129" s="110">
        <f t="shared" ca="1" si="44"/>
        <v>0</v>
      </c>
      <c r="K129" s="110">
        <f t="shared" ca="1" si="44"/>
        <v>0</v>
      </c>
      <c r="L129" s="110">
        <f t="shared" ca="1" si="44"/>
        <v>0</v>
      </c>
      <c r="M129" s="110">
        <f t="shared" ca="1" si="44"/>
        <v>0</v>
      </c>
      <c r="N129" s="110">
        <f t="shared" ca="1" si="44"/>
        <v>0</v>
      </c>
      <c r="O129" s="110">
        <f t="shared" ca="1" si="44"/>
        <v>0</v>
      </c>
      <c r="P129" s="110">
        <f t="shared" ca="1" si="44"/>
        <v>0</v>
      </c>
      <c r="Q129" s="110">
        <f t="shared" ca="1" si="44"/>
        <v>0</v>
      </c>
      <c r="R129" s="110">
        <f t="shared" ca="1" si="44"/>
        <v>0</v>
      </c>
      <c r="S129" s="110">
        <f t="shared" ca="1" si="44"/>
        <v>0</v>
      </c>
      <c r="T129" s="110">
        <f t="shared" ca="1" si="44"/>
        <v>0</v>
      </c>
      <c r="U129" s="110">
        <f t="shared" ca="1" si="44"/>
        <v>0</v>
      </c>
      <c r="V129" s="110">
        <f t="shared" ca="1" si="44"/>
        <v>0</v>
      </c>
      <c r="W129" s="110">
        <f t="shared" ca="1" si="44"/>
        <v>0</v>
      </c>
      <c r="X129" s="110">
        <f t="shared" ca="1" si="44"/>
        <v>0</v>
      </c>
      <c r="Y129" s="110">
        <f t="shared" ca="1" si="44"/>
        <v>0</v>
      </c>
      <c r="Z129" s="110">
        <f t="shared" ca="1" si="44"/>
        <v>0</v>
      </c>
      <c r="AA129" s="110">
        <f t="shared" ca="1" si="44"/>
        <v>0</v>
      </c>
      <c r="AB129" s="110">
        <f t="shared" ca="1" si="44"/>
        <v>0</v>
      </c>
      <c r="AC129" s="110">
        <f t="shared" ca="1" si="44"/>
        <v>0</v>
      </c>
      <c r="AD129" s="110">
        <f t="shared" ca="1" si="44"/>
        <v>0</v>
      </c>
      <c r="AE129" s="110">
        <f t="shared" ca="1" si="44"/>
        <v>0</v>
      </c>
      <c r="AF129" s="110">
        <f t="shared" ca="1" si="44"/>
        <v>0</v>
      </c>
      <c r="AG129" s="110">
        <f t="shared" ca="1" si="44"/>
        <v>0</v>
      </c>
      <c r="AH129" s="110">
        <f t="shared" ca="1" si="44"/>
        <v>0</v>
      </c>
      <c r="AI129" s="110">
        <f t="shared" ca="1" si="44"/>
        <v>0</v>
      </c>
      <c r="AJ129" s="110">
        <f t="shared" ca="1" si="44"/>
        <v>0</v>
      </c>
      <c r="AK129" s="110">
        <f t="shared" ca="1" si="44"/>
        <v>0</v>
      </c>
      <c r="AL129" s="110">
        <f t="shared" ca="1" si="44"/>
        <v>0</v>
      </c>
      <c r="AM129" s="110">
        <f t="shared" ca="1" si="44"/>
        <v>0</v>
      </c>
      <c r="AN129" s="110">
        <f t="shared" ca="1" si="44"/>
        <v>0</v>
      </c>
      <c r="AO129" s="110">
        <f t="shared" ca="1" si="44"/>
        <v>0</v>
      </c>
    </row>
    <row r="130" spans="4:41">
      <c r="D130" s="106">
        <f t="shared" ca="1" si="27"/>
        <v>45211</v>
      </c>
      <c r="E130" s="110">
        <f t="shared" ref="E130:AO130" ca="1" si="45">E56*$C$36+E93*$C$73</f>
        <v>0</v>
      </c>
      <c r="F130" s="110">
        <f t="shared" ca="1" si="45"/>
        <v>0</v>
      </c>
      <c r="G130" s="110">
        <f t="shared" ca="1" si="45"/>
        <v>0</v>
      </c>
      <c r="H130" s="110">
        <f t="shared" ca="1" si="45"/>
        <v>0</v>
      </c>
      <c r="I130" s="110">
        <f t="shared" ca="1" si="45"/>
        <v>0</v>
      </c>
      <c r="J130" s="110">
        <f t="shared" ca="1" si="45"/>
        <v>0</v>
      </c>
      <c r="K130" s="110">
        <f t="shared" ca="1" si="45"/>
        <v>0</v>
      </c>
      <c r="L130" s="110">
        <f t="shared" ca="1" si="45"/>
        <v>0</v>
      </c>
      <c r="M130" s="110">
        <f t="shared" ca="1" si="45"/>
        <v>0</v>
      </c>
      <c r="N130" s="110">
        <f t="shared" ca="1" si="45"/>
        <v>0</v>
      </c>
      <c r="O130" s="110">
        <f t="shared" ca="1" si="45"/>
        <v>0</v>
      </c>
      <c r="P130" s="110">
        <f t="shared" ca="1" si="45"/>
        <v>0</v>
      </c>
      <c r="Q130" s="110">
        <f t="shared" ca="1" si="45"/>
        <v>0</v>
      </c>
      <c r="R130" s="110">
        <f t="shared" ca="1" si="45"/>
        <v>0</v>
      </c>
      <c r="S130" s="110">
        <f t="shared" ca="1" si="45"/>
        <v>0</v>
      </c>
      <c r="T130" s="110">
        <f t="shared" ca="1" si="45"/>
        <v>0</v>
      </c>
      <c r="U130" s="110">
        <f t="shared" ca="1" si="45"/>
        <v>0</v>
      </c>
      <c r="V130" s="110">
        <f t="shared" ca="1" si="45"/>
        <v>0</v>
      </c>
      <c r="W130" s="110">
        <f t="shared" ca="1" si="45"/>
        <v>0</v>
      </c>
      <c r="X130" s="110">
        <f t="shared" ca="1" si="45"/>
        <v>0</v>
      </c>
      <c r="Y130" s="110">
        <f t="shared" ca="1" si="45"/>
        <v>0</v>
      </c>
      <c r="Z130" s="110">
        <f t="shared" ca="1" si="45"/>
        <v>0</v>
      </c>
      <c r="AA130" s="110">
        <f t="shared" ca="1" si="45"/>
        <v>0</v>
      </c>
      <c r="AB130" s="110">
        <f t="shared" ca="1" si="45"/>
        <v>0</v>
      </c>
      <c r="AC130" s="110">
        <f t="shared" ca="1" si="45"/>
        <v>0</v>
      </c>
      <c r="AD130" s="110">
        <f t="shared" ca="1" si="45"/>
        <v>0</v>
      </c>
      <c r="AE130" s="110">
        <f t="shared" ca="1" si="45"/>
        <v>0</v>
      </c>
      <c r="AF130" s="110">
        <f t="shared" ca="1" si="45"/>
        <v>0</v>
      </c>
      <c r="AG130" s="110">
        <f t="shared" ca="1" si="45"/>
        <v>0</v>
      </c>
      <c r="AH130" s="110">
        <f t="shared" ca="1" si="45"/>
        <v>0</v>
      </c>
      <c r="AI130" s="110">
        <f t="shared" ca="1" si="45"/>
        <v>0</v>
      </c>
      <c r="AJ130" s="110">
        <f t="shared" ca="1" si="45"/>
        <v>0</v>
      </c>
      <c r="AK130" s="110">
        <f t="shared" ca="1" si="45"/>
        <v>0</v>
      </c>
      <c r="AL130" s="110">
        <f t="shared" ca="1" si="45"/>
        <v>0</v>
      </c>
      <c r="AM130" s="110">
        <f t="shared" ca="1" si="45"/>
        <v>0</v>
      </c>
      <c r="AN130" s="110">
        <f t="shared" ca="1" si="45"/>
        <v>0</v>
      </c>
      <c r="AO130" s="110">
        <f t="shared" ca="1" si="45"/>
        <v>0</v>
      </c>
    </row>
    <row r="131" spans="4:41">
      <c r="D131" s="106">
        <f t="shared" ca="1" si="27"/>
        <v>45212</v>
      </c>
      <c r="E131" s="110">
        <f t="shared" ref="E131:AO131" ca="1" si="46">E57*$C$36+E94*$C$73</f>
        <v>0</v>
      </c>
      <c r="F131" s="110">
        <f t="shared" ca="1" si="46"/>
        <v>0</v>
      </c>
      <c r="G131" s="110">
        <f t="shared" ca="1" si="46"/>
        <v>0</v>
      </c>
      <c r="H131" s="110">
        <f t="shared" ca="1" si="46"/>
        <v>0</v>
      </c>
      <c r="I131" s="110">
        <f t="shared" ca="1" si="46"/>
        <v>0</v>
      </c>
      <c r="J131" s="110">
        <f t="shared" ca="1" si="46"/>
        <v>0</v>
      </c>
      <c r="K131" s="110">
        <f t="shared" ca="1" si="46"/>
        <v>0</v>
      </c>
      <c r="L131" s="110">
        <f t="shared" ca="1" si="46"/>
        <v>0</v>
      </c>
      <c r="M131" s="110">
        <f t="shared" ca="1" si="46"/>
        <v>0</v>
      </c>
      <c r="N131" s="110">
        <f t="shared" ca="1" si="46"/>
        <v>0</v>
      </c>
      <c r="O131" s="110">
        <f t="shared" ca="1" si="46"/>
        <v>0</v>
      </c>
      <c r="P131" s="110">
        <f t="shared" ca="1" si="46"/>
        <v>0</v>
      </c>
      <c r="Q131" s="110">
        <f t="shared" ca="1" si="46"/>
        <v>0</v>
      </c>
      <c r="R131" s="110">
        <f t="shared" ca="1" si="46"/>
        <v>0</v>
      </c>
      <c r="S131" s="110">
        <f t="shared" ca="1" si="46"/>
        <v>0</v>
      </c>
      <c r="T131" s="110">
        <f t="shared" ca="1" si="46"/>
        <v>0</v>
      </c>
      <c r="U131" s="110">
        <f t="shared" ca="1" si="46"/>
        <v>0</v>
      </c>
      <c r="V131" s="110">
        <f t="shared" ca="1" si="46"/>
        <v>0</v>
      </c>
      <c r="W131" s="110">
        <f t="shared" ca="1" si="46"/>
        <v>0</v>
      </c>
      <c r="X131" s="110">
        <f t="shared" ca="1" si="46"/>
        <v>0</v>
      </c>
      <c r="Y131" s="110">
        <f t="shared" ca="1" si="46"/>
        <v>0</v>
      </c>
      <c r="Z131" s="110">
        <f t="shared" ca="1" si="46"/>
        <v>0</v>
      </c>
      <c r="AA131" s="110">
        <f t="shared" ca="1" si="46"/>
        <v>0</v>
      </c>
      <c r="AB131" s="110">
        <f t="shared" ca="1" si="46"/>
        <v>0</v>
      </c>
      <c r="AC131" s="110">
        <f t="shared" ca="1" si="46"/>
        <v>0</v>
      </c>
      <c r="AD131" s="110">
        <f t="shared" ca="1" si="46"/>
        <v>0</v>
      </c>
      <c r="AE131" s="110">
        <f t="shared" ca="1" si="46"/>
        <v>0</v>
      </c>
      <c r="AF131" s="110">
        <f t="shared" ca="1" si="46"/>
        <v>0</v>
      </c>
      <c r="AG131" s="110">
        <f t="shared" ca="1" si="46"/>
        <v>0</v>
      </c>
      <c r="AH131" s="110">
        <f t="shared" ca="1" si="46"/>
        <v>0</v>
      </c>
      <c r="AI131" s="110">
        <f t="shared" ca="1" si="46"/>
        <v>0</v>
      </c>
      <c r="AJ131" s="110">
        <f t="shared" ca="1" si="46"/>
        <v>0</v>
      </c>
      <c r="AK131" s="110">
        <f t="shared" ca="1" si="46"/>
        <v>0</v>
      </c>
      <c r="AL131" s="110">
        <f t="shared" ca="1" si="46"/>
        <v>0</v>
      </c>
      <c r="AM131" s="110">
        <f t="shared" ca="1" si="46"/>
        <v>0</v>
      </c>
      <c r="AN131" s="110">
        <f t="shared" ca="1" si="46"/>
        <v>0</v>
      </c>
      <c r="AO131" s="110">
        <f t="shared" ca="1" si="46"/>
        <v>0</v>
      </c>
    </row>
    <row r="132" spans="4:41">
      <c r="D132" s="106">
        <f t="shared" ca="1" si="27"/>
        <v>45215</v>
      </c>
      <c r="E132" s="110">
        <f t="shared" ref="E132:AO132" ca="1" si="47">E58*$C$36+E95*$C$73</f>
        <v>0</v>
      </c>
      <c r="F132" s="110">
        <f t="shared" ca="1" si="47"/>
        <v>0</v>
      </c>
      <c r="G132" s="110">
        <f t="shared" ca="1" si="47"/>
        <v>0</v>
      </c>
      <c r="H132" s="110">
        <f t="shared" ca="1" si="47"/>
        <v>0</v>
      </c>
      <c r="I132" s="110">
        <f t="shared" ca="1" si="47"/>
        <v>0</v>
      </c>
      <c r="J132" s="110">
        <f t="shared" ca="1" si="47"/>
        <v>0</v>
      </c>
      <c r="K132" s="110">
        <f t="shared" ca="1" si="47"/>
        <v>0</v>
      </c>
      <c r="L132" s="110">
        <f t="shared" ca="1" si="47"/>
        <v>0</v>
      </c>
      <c r="M132" s="110">
        <f t="shared" ca="1" si="47"/>
        <v>0</v>
      </c>
      <c r="N132" s="110">
        <f t="shared" ca="1" si="47"/>
        <v>0</v>
      </c>
      <c r="O132" s="110">
        <f t="shared" ca="1" si="47"/>
        <v>0</v>
      </c>
      <c r="P132" s="110">
        <f t="shared" ca="1" si="47"/>
        <v>0</v>
      </c>
      <c r="Q132" s="110">
        <f t="shared" ca="1" si="47"/>
        <v>0</v>
      </c>
      <c r="R132" s="110">
        <f t="shared" ca="1" si="47"/>
        <v>0</v>
      </c>
      <c r="S132" s="110">
        <f t="shared" ca="1" si="47"/>
        <v>0</v>
      </c>
      <c r="T132" s="110">
        <f t="shared" ca="1" si="47"/>
        <v>0</v>
      </c>
      <c r="U132" s="110">
        <f t="shared" ca="1" si="47"/>
        <v>0</v>
      </c>
      <c r="V132" s="110">
        <f t="shared" ca="1" si="47"/>
        <v>0</v>
      </c>
      <c r="W132" s="110">
        <f t="shared" ca="1" si="47"/>
        <v>0</v>
      </c>
      <c r="X132" s="110">
        <f t="shared" ca="1" si="47"/>
        <v>0</v>
      </c>
      <c r="Y132" s="110">
        <f t="shared" ca="1" si="47"/>
        <v>0</v>
      </c>
      <c r="Z132" s="110">
        <f t="shared" ca="1" si="47"/>
        <v>0</v>
      </c>
      <c r="AA132" s="110">
        <f t="shared" ca="1" si="47"/>
        <v>0</v>
      </c>
      <c r="AB132" s="110">
        <f t="shared" ca="1" si="47"/>
        <v>0</v>
      </c>
      <c r="AC132" s="110">
        <f t="shared" ca="1" si="47"/>
        <v>0</v>
      </c>
      <c r="AD132" s="110">
        <f t="shared" ca="1" si="47"/>
        <v>0</v>
      </c>
      <c r="AE132" s="110">
        <f t="shared" ca="1" si="47"/>
        <v>0</v>
      </c>
      <c r="AF132" s="110">
        <f t="shared" ca="1" si="47"/>
        <v>0</v>
      </c>
      <c r="AG132" s="110">
        <f t="shared" ca="1" si="47"/>
        <v>0</v>
      </c>
      <c r="AH132" s="110">
        <f t="shared" ca="1" si="47"/>
        <v>0</v>
      </c>
      <c r="AI132" s="110">
        <f t="shared" ca="1" si="47"/>
        <v>0</v>
      </c>
      <c r="AJ132" s="110">
        <f t="shared" ca="1" si="47"/>
        <v>0</v>
      </c>
      <c r="AK132" s="110">
        <f t="shared" ca="1" si="47"/>
        <v>0</v>
      </c>
      <c r="AL132" s="110">
        <f t="shared" ca="1" si="47"/>
        <v>0</v>
      </c>
      <c r="AM132" s="110">
        <f t="shared" ca="1" si="47"/>
        <v>0</v>
      </c>
      <c r="AN132" s="110">
        <f t="shared" ca="1" si="47"/>
        <v>0</v>
      </c>
      <c r="AO132" s="110">
        <f t="shared" ca="1" si="47"/>
        <v>0</v>
      </c>
    </row>
    <row r="133" spans="4:41">
      <c r="D133" s="106">
        <f t="shared" ca="1" si="27"/>
        <v>45216</v>
      </c>
      <c r="E133" s="110">
        <f t="shared" ref="E133:AO133" ca="1" si="48">E59*$C$36+E96*$C$73</f>
        <v>0</v>
      </c>
      <c r="F133" s="110">
        <f t="shared" ca="1" si="48"/>
        <v>0</v>
      </c>
      <c r="G133" s="110">
        <f t="shared" ca="1" si="48"/>
        <v>0</v>
      </c>
      <c r="H133" s="110">
        <f t="shared" ca="1" si="48"/>
        <v>0</v>
      </c>
      <c r="I133" s="110">
        <f t="shared" ca="1" si="48"/>
        <v>0</v>
      </c>
      <c r="J133" s="110">
        <f t="shared" ca="1" si="48"/>
        <v>0</v>
      </c>
      <c r="K133" s="110">
        <f t="shared" ca="1" si="48"/>
        <v>0</v>
      </c>
      <c r="L133" s="110">
        <f t="shared" ca="1" si="48"/>
        <v>0</v>
      </c>
      <c r="M133" s="110">
        <f t="shared" ca="1" si="48"/>
        <v>0</v>
      </c>
      <c r="N133" s="110">
        <f t="shared" ca="1" si="48"/>
        <v>0</v>
      </c>
      <c r="O133" s="110">
        <f t="shared" ca="1" si="48"/>
        <v>0</v>
      </c>
      <c r="P133" s="110">
        <f t="shared" ca="1" si="48"/>
        <v>0</v>
      </c>
      <c r="Q133" s="110">
        <f t="shared" ca="1" si="48"/>
        <v>0</v>
      </c>
      <c r="R133" s="110">
        <f t="shared" ca="1" si="48"/>
        <v>0</v>
      </c>
      <c r="S133" s="110">
        <f t="shared" ca="1" si="48"/>
        <v>0</v>
      </c>
      <c r="T133" s="110">
        <f t="shared" ca="1" si="48"/>
        <v>0</v>
      </c>
      <c r="U133" s="110">
        <f t="shared" ca="1" si="48"/>
        <v>0</v>
      </c>
      <c r="V133" s="110">
        <f t="shared" ca="1" si="48"/>
        <v>0</v>
      </c>
      <c r="W133" s="110">
        <f t="shared" ca="1" si="48"/>
        <v>0</v>
      </c>
      <c r="X133" s="110">
        <f t="shared" ca="1" si="48"/>
        <v>0</v>
      </c>
      <c r="Y133" s="110">
        <f t="shared" ca="1" si="48"/>
        <v>0</v>
      </c>
      <c r="Z133" s="110">
        <f t="shared" ca="1" si="48"/>
        <v>0</v>
      </c>
      <c r="AA133" s="110">
        <f t="shared" ca="1" si="48"/>
        <v>0</v>
      </c>
      <c r="AB133" s="110">
        <f t="shared" ca="1" si="48"/>
        <v>0</v>
      </c>
      <c r="AC133" s="110">
        <f t="shared" ca="1" si="48"/>
        <v>0</v>
      </c>
      <c r="AD133" s="110">
        <f t="shared" ca="1" si="48"/>
        <v>0</v>
      </c>
      <c r="AE133" s="110">
        <f t="shared" ca="1" si="48"/>
        <v>0</v>
      </c>
      <c r="AF133" s="110">
        <f t="shared" ca="1" si="48"/>
        <v>0</v>
      </c>
      <c r="AG133" s="110">
        <f t="shared" ca="1" si="48"/>
        <v>0</v>
      </c>
      <c r="AH133" s="110">
        <f t="shared" ca="1" si="48"/>
        <v>0</v>
      </c>
      <c r="AI133" s="110">
        <f t="shared" ca="1" si="48"/>
        <v>0</v>
      </c>
      <c r="AJ133" s="110">
        <f t="shared" ca="1" si="48"/>
        <v>0</v>
      </c>
      <c r="AK133" s="110">
        <f t="shared" ca="1" si="48"/>
        <v>0</v>
      </c>
      <c r="AL133" s="110">
        <f t="shared" ca="1" si="48"/>
        <v>0</v>
      </c>
      <c r="AM133" s="110">
        <f t="shared" ca="1" si="48"/>
        <v>0</v>
      </c>
      <c r="AN133" s="110">
        <f t="shared" ca="1" si="48"/>
        <v>0</v>
      </c>
      <c r="AO133" s="110">
        <f t="shared" ca="1" si="48"/>
        <v>0</v>
      </c>
    </row>
    <row r="134" spans="4:41">
      <c r="D134" s="106">
        <f t="shared" ca="1" si="27"/>
        <v>45217</v>
      </c>
      <c r="E134" s="110">
        <f t="shared" ref="E134:AO134" ca="1" si="49">E60*$C$36+E97*$C$73</f>
        <v>0</v>
      </c>
      <c r="F134" s="110">
        <f t="shared" ca="1" si="49"/>
        <v>0</v>
      </c>
      <c r="G134" s="110">
        <f t="shared" ca="1" si="49"/>
        <v>0</v>
      </c>
      <c r="H134" s="110">
        <f t="shared" ca="1" si="49"/>
        <v>0</v>
      </c>
      <c r="I134" s="110">
        <f t="shared" ca="1" si="49"/>
        <v>0</v>
      </c>
      <c r="J134" s="110">
        <f t="shared" ca="1" si="49"/>
        <v>0</v>
      </c>
      <c r="K134" s="110">
        <f t="shared" ca="1" si="49"/>
        <v>0</v>
      </c>
      <c r="L134" s="110">
        <f t="shared" ca="1" si="49"/>
        <v>0</v>
      </c>
      <c r="M134" s="110">
        <f t="shared" ca="1" si="49"/>
        <v>0</v>
      </c>
      <c r="N134" s="110">
        <f t="shared" ca="1" si="49"/>
        <v>0</v>
      </c>
      <c r="O134" s="110">
        <f t="shared" ca="1" si="49"/>
        <v>0</v>
      </c>
      <c r="P134" s="110">
        <f t="shared" ca="1" si="49"/>
        <v>0</v>
      </c>
      <c r="Q134" s="110">
        <f t="shared" ca="1" si="49"/>
        <v>0</v>
      </c>
      <c r="R134" s="110">
        <f t="shared" ca="1" si="49"/>
        <v>0</v>
      </c>
      <c r="S134" s="110">
        <f t="shared" ca="1" si="49"/>
        <v>0</v>
      </c>
      <c r="T134" s="110">
        <f t="shared" ca="1" si="49"/>
        <v>0</v>
      </c>
      <c r="U134" s="110">
        <f t="shared" ca="1" si="49"/>
        <v>0</v>
      </c>
      <c r="V134" s="110">
        <f t="shared" ca="1" si="49"/>
        <v>0</v>
      </c>
      <c r="W134" s="110">
        <f t="shared" ca="1" si="49"/>
        <v>0</v>
      </c>
      <c r="X134" s="110">
        <f t="shared" ca="1" si="49"/>
        <v>0</v>
      </c>
      <c r="Y134" s="110">
        <f t="shared" ca="1" si="49"/>
        <v>0</v>
      </c>
      <c r="Z134" s="110">
        <f t="shared" ca="1" si="49"/>
        <v>0</v>
      </c>
      <c r="AA134" s="110">
        <f t="shared" ca="1" si="49"/>
        <v>0</v>
      </c>
      <c r="AB134" s="110">
        <f t="shared" ca="1" si="49"/>
        <v>0</v>
      </c>
      <c r="AC134" s="110">
        <f t="shared" ca="1" si="49"/>
        <v>0</v>
      </c>
      <c r="AD134" s="110">
        <f t="shared" ca="1" si="49"/>
        <v>0</v>
      </c>
      <c r="AE134" s="110">
        <f t="shared" ca="1" si="49"/>
        <v>0</v>
      </c>
      <c r="AF134" s="110">
        <f t="shared" ca="1" si="49"/>
        <v>0</v>
      </c>
      <c r="AG134" s="110">
        <f t="shared" ca="1" si="49"/>
        <v>0</v>
      </c>
      <c r="AH134" s="110">
        <f t="shared" ca="1" si="49"/>
        <v>0</v>
      </c>
      <c r="AI134" s="110">
        <f t="shared" ca="1" si="49"/>
        <v>0</v>
      </c>
      <c r="AJ134" s="110">
        <f t="shared" ca="1" si="49"/>
        <v>0</v>
      </c>
      <c r="AK134" s="110">
        <f t="shared" ca="1" si="49"/>
        <v>0</v>
      </c>
      <c r="AL134" s="110">
        <f t="shared" ca="1" si="49"/>
        <v>0</v>
      </c>
      <c r="AM134" s="110">
        <f t="shared" ca="1" si="49"/>
        <v>0</v>
      </c>
      <c r="AN134" s="110">
        <f t="shared" ca="1" si="49"/>
        <v>0</v>
      </c>
      <c r="AO134" s="110">
        <f t="shared" ca="1" si="49"/>
        <v>0</v>
      </c>
    </row>
    <row r="135" spans="4:41">
      <c r="D135" s="106">
        <f t="shared" ca="1" si="27"/>
        <v>45218</v>
      </c>
      <c r="E135" s="110">
        <f t="shared" ref="E135:AO135" ca="1" si="50">E61*$C$36+E98*$C$73</f>
        <v>0</v>
      </c>
      <c r="F135" s="110">
        <f t="shared" ca="1" si="50"/>
        <v>0</v>
      </c>
      <c r="G135" s="110">
        <f t="shared" ca="1" si="50"/>
        <v>0</v>
      </c>
      <c r="H135" s="110">
        <f t="shared" ca="1" si="50"/>
        <v>0</v>
      </c>
      <c r="I135" s="110">
        <f t="shared" ca="1" si="50"/>
        <v>0</v>
      </c>
      <c r="J135" s="110">
        <f t="shared" ca="1" si="50"/>
        <v>0</v>
      </c>
      <c r="K135" s="110">
        <f t="shared" ca="1" si="50"/>
        <v>0</v>
      </c>
      <c r="L135" s="110">
        <f t="shared" ca="1" si="50"/>
        <v>0</v>
      </c>
      <c r="M135" s="110">
        <f t="shared" ca="1" si="50"/>
        <v>0</v>
      </c>
      <c r="N135" s="110">
        <f t="shared" ca="1" si="50"/>
        <v>0</v>
      </c>
      <c r="O135" s="110">
        <f t="shared" ca="1" si="50"/>
        <v>0</v>
      </c>
      <c r="P135" s="110">
        <f t="shared" ca="1" si="50"/>
        <v>0</v>
      </c>
      <c r="Q135" s="110">
        <f t="shared" ca="1" si="50"/>
        <v>0</v>
      </c>
      <c r="R135" s="110">
        <f t="shared" ca="1" si="50"/>
        <v>0</v>
      </c>
      <c r="S135" s="110">
        <f t="shared" ca="1" si="50"/>
        <v>0</v>
      </c>
      <c r="T135" s="110">
        <f t="shared" ca="1" si="50"/>
        <v>0</v>
      </c>
      <c r="U135" s="110">
        <f t="shared" ca="1" si="50"/>
        <v>0</v>
      </c>
      <c r="V135" s="110">
        <f t="shared" ca="1" si="50"/>
        <v>0</v>
      </c>
      <c r="W135" s="110">
        <f t="shared" ca="1" si="50"/>
        <v>0</v>
      </c>
      <c r="X135" s="110">
        <f t="shared" ca="1" si="50"/>
        <v>0</v>
      </c>
      <c r="Y135" s="110">
        <f t="shared" ca="1" si="50"/>
        <v>0</v>
      </c>
      <c r="Z135" s="110">
        <f t="shared" ca="1" si="50"/>
        <v>0</v>
      </c>
      <c r="AA135" s="110">
        <f t="shared" ca="1" si="50"/>
        <v>0</v>
      </c>
      <c r="AB135" s="110">
        <f t="shared" ca="1" si="50"/>
        <v>0</v>
      </c>
      <c r="AC135" s="110">
        <f t="shared" ca="1" si="50"/>
        <v>0</v>
      </c>
      <c r="AD135" s="110">
        <f t="shared" ca="1" si="50"/>
        <v>0</v>
      </c>
      <c r="AE135" s="110">
        <f t="shared" ca="1" si="50"/>
        <v>0</v>
      </c>
      <c r="AF135" s="110">
        <f t="shared" ca="1" si="50"/>
        <v>0</v>
      </c>
      <c r="AG135" s="110">
        <f t="shared" ca="1" si="50"/>
        <v>0</v>
      </c>
      <c r="AH135" s="110">
        <f t="shared" ca="1" si="50"/>
        <v>0</v>
      </c>
      <c r="AI135" s="110">
        <f t="shared" ca="1" si="50"/>
        <v>0</v>
      </c>
      <c r="AJ135" s="110">
        <f t="shared" ca="1" si="50"/>
        <v>0</v>
      </c>
      <c r="AK135" s="110">
        <f t="shared" ca="1" si="50"/>
        <v>0</v>
      </c>
      <c r="AL135" s="110">
        <f t="shared" ca="1" si="50"/>
        <v>0</v>
      </c>
      <c r="AM135" s="110">
        <f t="shared" ca="1" si="50"/>
        <v>0</v>
      </c>
      <c r="AN135" s="110">
        <f t="shared" ca="1" si="50"/>
        <v>0</v>
      </c>
      <c r="AO135" s="110">
        <f t="shared" ca="1" si="50"/>
        <v>0</v>
      </c>
    </row>
    <row r="136" spans="4:41">
      <c r="D136" s="106">
        <f t="shared" ca="1" si="27"/>
        <v>45219</v>
      </c>
      <c r="E136" s="110">
        <f t="shared" ref="E136:AO136" ca="1" si="51">E62*$C$36+E99*$C$73</f>
        <v>0</v>
      </c>
      <c r="F136" s="110">
        <f t="shared" ca="1" si="51"/>
        <v>0</v>
      </c>
      <c r="G136" s="110">
        <f t="shared" ca="1" si="51"/>
        <v>0</v>
      </c>
      <c r="H136" s="110">
        <f t="shared" ca="1" si="51"/>
        <v>0</v>
      </c>
      <c r="I136" s="110">
        <f t="shared" ca="1" si="51"/>
        <v>0</v>
      </c>
      <c r="J136" s="110">
        <f t="shared" ca="1" si="51"/>
        <v>0</v>
      </c>
      <c r="K136" s="110">
        <f t="shared" ca="1" si="51"/>
        <v>0</v>
      </c>
      <c r="L136" s="110">
        <f t="shared" ca="1" si="51"/>
        <v>0</v>
      </c>
      <c r="M136" s="110">
        <f t="shared" ca="1" si="51"/>
        <v>0</v>
      </c>
      <c r="N136" s="110">
        <f t="shared" ca="1" si="51"/>
        <v>0</v>
      </c>
      <c r="O136" s="110">
        <f t="shared" ca="1" si="51"/>
        <v>0</v>
      </c>
      <c r="P136" s="110">
        <f t="shared" ca="1" si="51"/>
        <v>0</v>
      </c>
      <c r="Q136" s="110">
        <f t="shared" ca="1" si="51"/>
        <v>0</v>
      </c>
      <c r="R136" s="110">
        <f t="shared" ca="1" si="51"/>
        <v>0</v>
      </c>
      <c r="S136" s="110">
        <f t="shared" ca="1" si="51"/>
        <v>0</v>
      </c>
      <c r="T136" s="110">
        <f t="shared" ca="1" si="51"/>
        <v>0</v>
      </c>
      <c r="U136" s="110">
        <f t="shared" ca="1" si="51"/>
        <v>0</v>
      </c>
      <c r="V136" s="110">
        <f t="shared" ca="1" si="51"/>
        <v>0</v>
      </c>
      <c r="W136" s="110">
        <f t="shared" ca="1" si="51"/>
        <v>0</v>
      </c>
      <c r="X136" s="110">
        <f t="shared" ca="1" si="51"/>
        <v>0</v>
      </c>
      <c r="Y136" s="110">
        <f t="shared" ca="1" si="51"/>
        <v>0</v>
      </c>
      <c r="Z136" s="110">
        <f t="shared" ca="1" si="51"/>
        <v>0</v>
      </c>
      <c r="AA136" s="110">
        <f t="shared" ca="1" si="51"/>
        <v>0</v>
      </c>
      <c r="AB136" s="110">
        <f t="shared" ca="1" si="51"/>
        <v>0</v>
      </c>
      <c r="AC136" s="110">
        <f t="shared" ca="1" si="51"/>
        <v>0</v>
      </c>
      <c r="AD136" s="110">
        <f t="shared" ca="1" si="51"/>
        <v>0</v>
      </c>
      <c r="AE136" s="110">
        <f t="shared" ca="1" si="51"/>
        <v>0</v>
      </c>
      <c r="AF136" s="110">
        <f t="shared" ca="1" si="51"/>
        <v>0</v>
      </c>
      <c r="AG136" s="110">
        <f t="shared" ca="1" si="51"/>
        <v>0</v>
      </c>
      <c r="AH136" s="110">
        <f t="shared" ca="1" si="51"/>
        <v>0</v>
      </c>
      <c r="AI136" s="110">
        <f t="shared" ca="1" si="51"/>
        <v>0</v>
      </c>
      <c r="AJ136" s="110">
        <f t="shared" ca="1" si="51"/>
        <v>0</v>
      </c>
      <c r="AK136" s="110">
        <f t="shared" ca="1" si="51"/>
        <v>0</v>
      </c>
      <c r="AL136" s="110">
        <f t="shared" ca="1" si="51"/>
        <v>0</v>
      </c>
      <c r="AM136" s="110">
        <f t="shared" ca="1" si="51"/>
        <v>0</v>
      </c>
      <c r="AN136" s="110">
        <f t="shared" ca="1" si="51"/>
        <v>0</v>
      </c>
      <c r="AO136" s="110">
        <f t="shared" ca="1" si="51"/>
        <v>0</v>
      </c>
    </row>
    <row r="137" spans="4:41">
      <c r="D137" s="106">
        <f t="shared" ca="1" si="27"/>
        <v>45222</v>
      </c>
      <c r="E137" s="110">
        <f t="shared" ref="E137:AO137" ca="1" si="52">E63*$C$36+E100*$C$73</f>
        <v>0</v>
      </c>
      <c r="F137" s="110">
        <f t="shared" ca="1" si="52"/>
        <v>0</v>
      </c>
      <c r="G137" s="110">
        <f t="shared" ca="1" si="52"/>
        <v>0</v>
      </c>
      <c r="H137" s="110">
        <f t="shared" ca="1" si="52"/>
        <v>0</v>
      </c>
      <c r="I137" s="110">
        <f t="shared" ca="1" si="52"/>
        <v>0</v>
      </c>
      <c r="J137" s="110">
        <f t="shared" ca="1" si="52"/>
        <v>0</v>
      </c>
      <c r="K137" s="110">
        <f t="shared" ca="1" si="52"/>
        <v>0</v>
      </c>
      <c r="L137" s="110">
        <f t="shared" ca="1" si="52"/>
        <v>0</v>
      </c>
      <c r="M137" s="110">
        <f t="shared" ca="1" si="52"/>
        <v>0</v>
      </c>
      <c r="N137" s="110">
        <f t="shared" ca="1" si="52"/>
        <v>0</v>
      </c>
      <c r="O137" s="110">
        <f t="shared" ca="1" si="52"/>
        <v>0</v>
      </c>
      <c r="P137" s="110">
        <f t="shared" ca="1" si="52"/>
        <v>0</v>
      </c>
      <c r="Q137" s="110">
        <f t="shared" ca="1" si="52"/>
        <v>0</v>
      </c>
      <c r="R137" s="110">
        <f t="shared" ca="1" si="52"/>
        <v>0</v>
      </c>
      <c r="S137" s="110">
        <f t="shared" ca="1" si="52"/>
        <v>0</v>
      </c>
      <c r="T137" s="110">
        <f t="shared" ca="1" si="52"/>
        <v>0</v>
      </c>
      <c r="U137" s="110">
        <f t="shared" ca="1" si="52"/>
        <v>0</v>
      </c>
      <c r="V137" s="110">
        <f t="shared" ca="1" si="52"/>
        <v>0</v>
      </c>
      <c r="W137" s="110">
        <f t="shared" ca="1" si="52"/>
        <v>0</v>
      </c>
      <c r="X137" s="110">
        <f t="shared" ca="1" si="52"/>
        <v>0</v>
      </c>
      <c r="Y137" s="110">
        <f t="shared" ca="1" si="52"/>
        <v>0</v>
      </c>
      <c r="Z137" s="110">
        <f t="shared" ca="1" si="52"/>
        <v>0</v>
      </c>
      <c r="AA137" s="110">
        <f t="shared" ca="1" si="52"/>
        <v>0</v>
      </c>
      <c r="AB137" s="110">
        <f t="shared" ca="1" si="52"/>
        <v>0</v>
      </c>
      <c r="AC137" s="110">
        <f t="shared" ca="1" si="52"/>
        <v>0</v>
      </c>
      <c r="AD137" s="110">
        <f t="shared" ca="1" si="52"/>
        <v>0</v>
      </c>
      <c r="AE137" s="110">
        <f t="shared" ca="1" si="52"/>
        <v>0</v>
      </c>
      <c r="AF137" s="110">
        <f t="shared" ca="1" si="52"/>
        <v>0</v>
      </c>
      <c r="AG137" s="110">
        <f t="shared" ca="1" si="52"/>
        <v>0</v>
      </c>
      <c r="AH137" s="110">
        <f t="shared" ca="1" si="52"/>
        <v>0</v>
      </c>
      <c r="AI137" s="110">
        <f t="shared" ca="1" si="52"/>
        <v>0</v>
      </c>
      <c r="AJ137" s="110">
        <f t="shared" ca="1" si="52"/>
        <v>0</v>
      </c>
      <c r="AK137" s="110">
        <f t="shared" ca="1" si="52"/>
        <v>0</v>
      </c>
      <c r="AL137" s="110">
        <f t="shared" ca="1" si="52"/>
        <v>0</v>
      </c>
      <c r="AM137" s="110">
        <f t="shared" ca="1" si="52"/>
        <v>0</v>
      </c>
      <c r="AN137" s="110">
        <f t="shared" ca="1" si="52"/>
        <v>0</v>
      </c>
      <c r="AO137" s="110">
        <f t="shared" ca="1" si="52"/>
        <v>0</v>
      </c>
    </row>
    <row r="138" spans="4:41">
      <c r="D138" s="106">
        <f t="shared" ca="1" si="27"/>
        <v>45223</v>
      </c>
      <c r="E138" s="110">
        <f t="shared" ref="E138:AO138" ca="1" si="53">E64*$C$36+E101*$C$73</f>
        <v>0</v>
      </c>
      <c r="F138" s="110">
        <f t="shared" ca="1" si="53"/>
        <v>0</v>
      </c>
      <c r="G138" s="110">
        <f t="shared" ca="1" si="53"/>
        <v>0</v>
      </c>
      <c r="H138" s="110">
        <f t="shared" ca="1" si="53"/>
        <v>0</v>
      </c>
      <c r="I138" s="110">
        <f t="shared" ca="1" si="53"/>
        <v>0</v>
      </c>
      <c r="J138" s="110">
        <f t="shared" ca="1" si="53"/>
        <v>0</v>
      </c>
      <c r="K138" s="110">
        <f t="shared" ca="1" si="53"/>
        <v>0</v>
      </c>
      <c r="L138" s="110">
        <f t="shared" ca="1" si="53"/>
        <v>0</v>
      </c>
      <c r="M138" s="110">
        <f t="shared" ca="1" si="53"/>
        <v>0</v>
      </c>
      <c r="N138" s="110">
        <f t="shared" ca="1" si="53"/>
        <v>0</v>
      </c>
      <c r="O138" s="110">
        <f t="shared" ca="1" si="53"/>
        <v>0</v>
      </c>
      <c r="P138" s="110">
        <f t="shared" ca="1" si="53"/>
        <v>0</v>
      </c>
      <c r="Q138" s="110">
        <f t="shared" ca="1" si="53"/>
        <v>0</v>
      </c>
      <c r="R138" s="110">
        <f t="shared" ca="1" si="53"/>
        <v>0</v>
      </c>
      <c r="S138" s="110">
        <f t="shared" ca="1" si="53"/>
        <v>0</v>
      </c>
      <c r="T138" s="110">
        <f t="shared" ca="1" si="53"/>
        <v>0</v>
      </c>
      <c r="U138" s="110">
        <f t="shared" ca="1" si="53"/>
        <v>0</v>
      </c>
      <c r="V138" s="110">
        <f t="shared" ca="1" si="53"/>
        <v>0</v>
      </c>
      <c r="W138" s="110">
        <f t="shared" ca="1" si="53"/>
        <v>0</v>
      </c>
      <c r="X138" s="110">
        <f t="shared" ca="1" si="53"/>
        <v>0</v>
      </c>
      <c r="Y138" s="110">
        <f t="shared" ca="1" si="53"/>
        <v>0</v>
      </c>
      <c r="Z138" s="110">
        <f t="shared" ca="1" si="53"/>
        <v>0</v>
      </c>
      <c r="AA138" s="110">
        <f t="shared" ca="1" si="53"/>
        <v>0</v>
      </c>
      <c r="AB138" s="110">
        <f t="shared" ca="1" si="53"/>
        <v>0</v>
      </c>
      <c r="AC138" s="110">
        <f t="shared" ca="1" si="53"/>
        <v>0</v>
      </c>
      <c r="AD138" s="110">
        <f t="shared" ca="1" si="53"/>
        <v>0</v>
      </c>
      <c r="AE138" s="110">
        <f t="shared" ca="1" si="53"/>
        <v>0</v>
      </c>
      <c r="AF138" s="110">
        <f t="shared" ca="1" si="53"/>
        <v>0</v>
      </c>
      <c r="AG138" s="110">
        <f t="shared" ca="1" si="53"/>
        <v>0</v>
      </c>
      <c r="AH138" s="110">
        <f t="shared" ca="1" si="53"/>
        <v>0</v>
      </c>
      <c r="AI138" s="110">
        <f t="shared" ca="1" si="53"/>
        <v>0</v>
      </c>
      <c r="AJ138" s="110">
        <f t="shared" ca="1" si="53"/>
        <v>0</v>
      </c>
      <c r="AK138" s="110">
        <f t="shared" ca="1" si="53"/>
        <v>0</v>
      </c>
      <c r="AL138" s="110">
        <f t="shared" ca="1" si="53"/>
        <v>0</v>
      </c>
      <c r="AM138" s="110">
        <f t="shared" ca="1" si="53"/>
        <v>0</v>
      </c>
      <c r="AN138" s="110">
        <f t="shared" ca="1" si="53"/>
        <v>0</v>
      </c>
      <c r="AO138" s="110">
        <f t="shared" ca="1" si="53"/>
        <v>0</v>
      </c>
    </row>
    <row r="139" spans="4:41">
      <c r="D139" s="106">
        <f t="shared" ca="1" si="27"/>
        <v>45224</v>
      </c>
      <c r="E139" s="110">
        <f t="shared" ref="E139:AO139" ca="1" si="54">E65*$C$36+E102*$C$73</f>
        <v>0</v>
      </c>
      <c r="F139" s="110">
        <f t="shared" ca="1" si="54"/>
        <v>0</v>
      </c>
      <c r="G139" s="110">
        <f t="shared" ca="1" si="54"/>
        <v>0</v>
      </c>
      <c r="H139" s="110">
        <f t="shared" ca="1" si="54"/>
        <v>0</v>
      </c>
      <c r="I139" s="110">
        <f t="shared" ca="1" si="54"/>
        <v>0</v>
      </c>
      <c r="J139" s="110">
        <f t="shared" ca="1" si="54"/>
        <v>0</v>
      </c>
      <c r="K139" s="110">
        <f t="shared" ca="1" si="54"/>
        <v>0</v>
      </c>
      <c r="L139" s="110">
        <f t="shared" ca="1" si="54"/>
        <v>0</v>
      </c>
      <c r="M139" s="110">
        <f t="shared" ca="1" si="54"/>
        <v>0</v>
      </c>
      <c r="N139" s="110">
        <f t="shared" ca="1" si="54"/>
        <v>0</v>
      </c>
      <c r="O139" s="110">
        <f t="shared" ca="1" si="54"/>
        <v>0</v>
      </c>
      <c r="P139" s="110">
        <f t="shared" ca="1" si="54"/>
        <v>0</v>
      </c>
      <c r="Q139" s="110">
        <f t="shared" ca="1" si="54"/>
        <v>0</v>
      </c>
      <c r="R139" s="110">
        <f t="shared" ca="1" si="54"/>
        <v>0</v>
      </c>
      <c r="S139" s="110">
        <f t="shared" ca="1" si="54"/>
        <v>0</v>
      </c>
      <c r="T139" s="110">
        <f t="shared" ca="1" si="54"/>
        <v>0</v>
      </c>
      <c r="U139" s="110">
        <f t="shared" ca="1" si="54"/>
        <v>0</v>
      </c>
      <c r="V139" s="110">
        <f t="shared" ca="1" si="54"/>
        <v>0</v>
      </c>
      <c r="W139" s="110">
        <f t="shared" ca="1" si="54"/>
        <v>0</v>
      </c>
      <c r="X139" s="110">
        <f t="shared" ca="1" si="54"/>
        <v>0</v>
      </c>
      <c r="Y139" s="110">
        <f t="shared" ca="1" si="54"/>
        <v>0</v>
      </c>
      <c r="Z139" s="110">
        <f t="shared" ca="1" si="54"/>
        <v>0</v>
      </c>
      <c r="AA139" s="110">
        <f t="shared" ca="1" si="54"/>
        <v>0</v>
      </c>
      <c r="AB139" s="110">
        <f t="shared" ca="1" si="54"/>
        <v>0</v>
      </c>
      <c r="AC139" s="110">
        <f t="shared" ca="1" si="54"/>
        <v>0</v>
      </c>
      <c r="AD139" s="110">
        <f t="shared" ca="1" si="54"/>
        <v>0</v>
      </c>
      <c r="AE139" s="110">
        <f t="shared" ca="1" si="54"/>
        <v>0</v>
      </c>
      <c r="AF139" s="110">
        <f t="shared" ca="1" si="54"/>
        <v>0</v>
      </c>
      <c r="AG139" s="110">
        <f t="shared" ca="1" si="54"/>
        <v>0</v>
      </c>
      <c r="AH139" s="110">
        <f t="shared" ca="1" si="54"/>
        <v>0</v>
      </c>
      <c r="AI139" s="110">
        <f t="shared" ca="1" si="54"/>
        <v>0</v>
      </c>
      <c r="AJ139" s="110">
        <f t="shared" ca="1" si="54"/>
        <v>0</v>
      </c>
      <c r="AK139" s="110">
        <f t="shared" ca="1" si="54"/>
        <v>0</v>
      </c>
      <c r="AL139" s="110">
        <f t="shared" ca="1" si="54"/>
        <v>0</v>
      </c>
      <c r="AM139" s="110">
        <f t="shared" ca="1" si="54"/>
        <v>0</v>
      </c>
      <c r="AN139" s="110">
        <f t="shared" ca="1" si="54"/>
        <v>0</v>
      </c>
      <c r="AO139" s="110">
        <f t="shared" ca="1" si="54"/>
        <v>0</v>
      </c>
    </row>
    <row r="140" spans="4:41">
      <c r="D140" s="106">
        <f t="shared" ca="1" si="27"/>
        <v>45225</v>
      </c>
      <c r="E140" s="110">
        <f t="shared" ref="E140:AO140" ca="1" si="55">E66*$C$36+E103*$C$73</f>
        <v>0</v>
      </c>
      <c r="F140" s="110">
        <f t="shared" ca="1" si="55"/>
        <v>0</v>
      </c>
      <c r="G140" s="110">
        <f t="shared" ca="1" si="55"/>
        <v>0</v>
      </c>
      <c r="H140" s="110">
        <f t="shared" ca="1" si="55"/>
        <v>0</v>
      </c>
      <c r="I140" s="110">
        <f t="shared" ca="1" si="55"/>
        <v>0</v>
      </c>
      <c r="J140" s="110">
        <f t="shared" ca="1" si="55"/>
        <v>0</v>
      </c>
      <c r="K140" s="110">
        <f t="shared" ca="1" si="55"/>
        <v>0</v>
      </c>
      <c r="L140" s="110">
        <f t="shared" ca="1" si="55"/>
        <v>0</v>
      </c>
      <c r="M140" s="110">
        <f t="shared" ca="1" si="55"/>
        <v>0</v>
      </c>
      <c r="N140" s="110">
        <f t="shared" ca="1" si="55"/>
        <v>0</v>
      </c>
      <c r="O140" s="110">
        <f t="shared" ca="1" si="55"/>
        <v>0</v>
      </c>
      <c r="P140" s="110">
        <f t="shared" ca="1" si="55"/>
        <v>0</v>
      </c>
      <c r="Q140" s="110">
        <f t="shared" ca="1" si="55"/>
        <v>0</v>
      </c>
      <c r="R140" s="110">
        <f t="shared" ca="1" si="55"/>
        <v>0</v>
      </c>
      <c r="S140" s="110">
        <f t="shared" ca="1" si="55"/>
        <v>0</v>
      </c>
      <c r="T140" s="110">
        <f t="shared" ca="1" si="55"/>
        <v>0</v>
      </c>
      <c r="U140" s="110">
        <f t="shared" ca="1" si="55"/>
        <v>0</v>
      </c>
      <c r="V140" s="110">
        <f t="shared" ca="1" si="55"/>
        <v>0</v>
      </c>
      <c r="W140" s="110">
        <f t="shared" ca="1" si="55"/>
        <v>0</v>
      </c>
      <c r="X140" s="110">
        <f t="shared" ca="1" si="55"/>
        <v>0</v>
      </c>
      <c r="Y140" s="110">
        <f t="shared" ca="1" si="55"/>
        <v>0</v>
      </c>
      <c r="Z140" s="110">
        <f t="shared" ca="1" si="55"/>
        <v>0</v>
      </c>
      <c r="AA140" s="110">
        <f t="shared" ca="1" si="55"/>
        <v>0</v>
      </c>
      <c r="AB140" s="110">
        <f t="shared" ca="1" si="55"/>
        <v>0</v>
      </c>
      <c r="AC140" s="110">
        <f t="shared" ca="1" si="55"/>
        <v>0</v>
      </c>
      <c r="AD140" s="110">
        <f t="shared" ca="1" si="55"/>
        <v>0</v>
      </c>
      <c r="AE140" s="110">
        <f t="shared" ca="1" si="55"/>
        <v>0</v>
      </c>
      <c r="AF140" s="110">
        <f t="shared" ca="1" si="55"/>
        <v>0</v>
      </c>
      <c r="AG140" s="110">
        <f t="shared" ca="1" si="55"/>
        <v>0</v>
      </c>
      <c r="AH140" s="110">
        <f t="shared" ca="1" si="55"/>
        <v>0</v>
      </c>
      <c r="AI140" s="110">
        <f t="shared" ca="1" si="55"/>
        <v>0</v>
      </c>
      <c r="AJ140" s="110">
        <f t="shared" ca="1" si="55"/>
        <v>0</v>
      </c>
      <c r="AK140" s="110">
        <f t="shared" ca="1" si="55"/>
        <v>0</v>
      </c>
      <c r="AL140" s="110">
        <f t="shared" ca="1" si="55"/>
        <v>0</v>
      </c>
      <c r="AM140" s="110">
        <f t="shared" ca="1" si="55"/>
        <v>0</v>
      </c>
      <c r="AN140" s="110">
        <f t="shared" ca="1" si="55"/>
        <v>0</v>
      </c>
      <c r="AO140" s="110">
        <f t="shared" ca="1" si="55"/>
        <v>0</v>
      </c>
    </row>
    <row r="141" spans="4:41">
      <c r="D141" s="106">
        <f t="shared" ca="1" si="27"/>
        <v>45226</v>
      </c>
      <c r="E141" s="110">
        <f t="shared" ref="E141:AO141" ca="1" si="56">E67*$C$36+E104*$C$73</f>
        <v>0</v>
      </c>
      <c r="F141" s="110">
        <f t="shared" ca="1" si="56"/>
        <v>0</v>
      </c>
      <c r="G141" s="110">
        <f t="shared" ca="1" si="56"/>
        <v>0</v>
      </c>
      <c r="H141" s="110">
        <f t="shared" ca="1" si="56"/>
        <v>0</v>
      </c>
      <c r="I141" s="110">
        <f t="shared" ca="1" si="56"/>
        <v>0</v>
      </c>
      <c r="J141" s="110">
        <f t="shared" ca="1" si="56"/>
        <v>0</v>
      </c>
      <c r="K141" s="110">
        <f t="shared" ca="1" si="56"/>
        <v>0</v>
      </c>
      <c r="L141" s="110">
        <f t="shared" ca="1" si="56"/>
        <v>0</v>
      </c>
      <c r="M141" s="110">
        <f t="shared" ca="1" si="56"/>
        <v>0</v>
      </c>
      <c r="N141" s="110">
        <f t="shared" ca="1" si="56"/>
        <v>0</v>
      </c>
      <c r="O141" s="110">
        <f t="shared" ca="1" si="56"/>
        <v>0</v>
      </c>
      <c r="P141" s="110">
        <f t="shared" ca="1" si="56"/>
        <v>0</v>
      </c>
      <c r="Q141" s="110">
        <f t="shared" ca="1" si="56"/>
        <v>0</v>
      </c>
      <c r="R141" s="110">
        <f t="shared" ca="1" si="56"/>
        <v>0</v>
      </c>
      <c r="S141" s="110">
        <f t="shared" ca="1" si="56"/>
        <v>0</v>
      </c>
      <c r="T141" s="110">
        <f t="shared" ca="1" si="56"/>
        <v>0</v>
      </c>
      <c r="U141" s="110">
        <f t="shared" ca="1" si="56"/>
        <v>0</v>
      </c>
      <c r="V141" s="110">
        <f t="shared" ca="1" si="56"/>
        <v>0</v>
      </c>
      <c r="W141" s="110">
        <f t="shared" ca="1" si="56"/>
        <v>0</v>
      </c>
      <c r="X141" s="110">
        <f t="shared" ca="1" si="56"/>
        <v>0</v>
      </c>
      <c r="Y141" s="110">
        <f t="shared" ca="1" si="56"/>
        <v>0</v>
      </c>
      <c r="Z141" s="110">
        <f t="shared" ca="1" si="56"/>
        <v>0</v>
      </c>
      <c r="AA141" s="110">
        <f t="shared" ca="1" si="56"/>
        <v>0</v>
      </c>
      <c r="AB141" s="110">
        <f t="shared" ca="1" si="56"/>
        <v>0</v>
      </c>
      <c r="AC141" s="110">
        <f t="shared" ca="1" si="56"/>
        <v>0</v>
      </c>
      <c r="AD141" s="110">
        <f t="shared" ca="1" si="56"/>
        <v>0</v>
      </c>
      <c r="AE141" s="110">
        <f t="shared" ca="1" si="56"/>
        <v>0</v>
      </c>
      <c r="AF141" s="110">
        <f t="shared" ca="1" si="56"/>
        <v>0</v>
      </c>
      <c r="AG141" s="110">
        <f t="shared" ca="1" si="56"/>
        <v>0</v>
      </c>
      <c r="AH141" s="110">
        <f t="shared" ca="1" si="56"/>
        <v>0</v>
      </c>
      <c r="AI141" s="110">
        <f t="shared" ca="1" si="56"/>
        <v>0</v>
      </c>
      <c r="AJ141" s="110">
        <f t="shared" ca="1" si="56"/>
        <v>0</v>
      </c>
      <c r="AK141" s="110">
        <f t="shared" ca="1" si="56"/>
        <v>0</v>
      </c>
      <c r="AL141" s="110">
        <f t="shared" ca="1" si="56"/>
        <v>0</v>
      </c>
      <c r="AM141" s="110">
        <f t="shared" ca="1" si="56"/>
        <v>0</v>
      </c>
      <c r="AN141" s="110">
        <f t="shared" ca="1" si="56"/>
        <v>0</v>
      </c>
      <c r="AO141" s="110">
        <f t="shared" ca="1" si="56"/>
        <v>0</v>
      </c>
    </row>
    <row r="142" spans="4:41">
      <c r="D142" s="106">
        <f t="shared" ca="1" si="27"/>
        <v>45229</v>
      </c>
      <c r="E142" s="110">
        <f t="shared" ref="E142:AO142" ca="1" si="57">E68*$C$36+E105*$C$73</f>
        <v>0</v>
      </c>
      <c r="F142" s="110">
        <f t="shared" ca="1" si="57"/>
        <v>0</v>
      </c>
      <c r="G142" s="110">
        <f t="shared" ca="1" si="57"/>
        <v>0</v>
      </c>
      <c r="H142" s="110">
        <f t="shared" ca="1" si="57"/>
        <v>0</v>
      </c>
      <c r="I142" s="110">
        <f t="shared" ca="1" si="57"/>
        <v>0</v>
      </c>
      <c r="J142" s="110">
        <f t="shared" ca="1" si="57"/>
        <v>0</v>
      </c>
      <c r="K142" s="110">
        <f t="shared" ca="1" si="57"/>
        <v>0</v>
      </c>
      <c r="L142" s="110">
        <f t="shared" ca="1" si="57"/>
        <v>0</v>
      </c>
      <c r="M142" s="110">
        <f t="shared" ca="1" si="57"/>
        <v>0</v>
      </c>
      <c r="N142" s="110">
        <f t="shared" ca="1" si="57"/>
        <v>0</v>
      </c>
      <c r="O142" s="110">
        <f t="shared" ca="1" si="57"/>
        <v>0</v>
      </c>
      <c r="P142" s="110">
        <f t="shared" ca="1" si="57"/>
        <v>0</v>
      </c>
      <c r="Q142" s="110">
        <f t="shared" ca="1" si="57"/>
        <v>0</v>
      </c>
      <c r="R142" s="110">
        <f t="shared" ca="1" si="57"/>
        <v>0</v>
      </c>
      <c r="S142" s="110">
        <f t="shared" ca="1" si="57"/>
        <v>0</v>
      </c>
      <c r="T142" s="110">
        <f t="shared" ca="1" si="57"/>
        <v>0</v>
      </c>
      <c r="U142" s="110">
        <f t="shared" ca="1" si="57"/>
        <v>0</v>
      </c>
      <c r="V142" s="110">
        <f t="shared" ca="1" si="57"/>
        <v>0</v>
      </c>
      <c r="W142" s="110">
        <f t="shared" ca="1" si="57"/>
        <v>0</v>
      </c>
      <c r="X142" s="110">
        <f t="shared" ca="1" si="57"/>
        <v>0</v>
      </c>
      <c r="Y142" s="110">
        <f t="shared" ca="1" si="57"/>
        <v>0</v>
      </c>
      <c r="Z142" s="110">
        <f t="shared" ca="1" si="57"/>
        <v>0</v>
      </c>
      <c r="AA142" s="110">
        <f t="shared" ca="1" si="57"/>
        <v>0</v>
      </c>
      <c r="AB142" s="110">
        <f t="shared" ca="1" si="57"/>
        <v>0</v>
      </c>
      <c r="AC142" s="110">
        <f t="shared" ca="1" si="57"/>
        <v>0</v>
      </c>
      <c r="AD142" s="110">
        <f t="shared" ca="1" si="57"/>
        <v>0</v>
      </c>
      <c r="AE142" s="110">
        <f t="shared" ca="1" si="57"/>
        <v>0</v>
      </c>
      <c r="AF142" s="110">
        <f t="shared" ca="1" si="57"/>
        <v>0</v>
      </c>
      <c r="AG142" s="110">
        <f t="shared" ca="1" si="57"/>
        <v>0</v>
      </c>
      <c r="AH142" s="110">
        <f t="shared" ca="1" si="57"/>
        <v>0</v>
      </c>
      <c r="AI142" s="110">
        <f t="shared" ca="1" si="57"/>
        <v>0</v>
      </c>
      <c r="AJ142" s="110">
        <f t="shared" ca="1" si="57"/>
        <v>0</v>
      </c>
      <c r="AK142" s="110">
        <f t="shared" ca="1" si="57"/>
        <v>0</v>
      </c>
      <c r="AL142" s="110">
        <f t="shared" ca="1" si="57"/>
        <v>0</v>
      </c>
      <c r="AM142" s="110">
        <f t="shared" ca="1" si="57"/>
        <v>0</v>
      </c>
      <c r="AN142" s="110">
        <f t="shared" ca="1" si="57"/>
        <v>0</v>
      </c>
      <c r="AO142" s="110">
        <f t="shared" ca="1" si="57"/>
        <v>0</v>
      </c>
    </row>
    <row r="148" spans="2:41">
      <c r="E148" s="18">
        <v>0.97</v>
      </c>
    </row>
    <row r="149" spans="2:41">
      <c r="D149" s="99">
        <v>2E-3</v>
      </c>
      <c r="E149" s="99"/>
      <c r="H149" s="18"/>
      <c r="K149" s="29"/>
      <c r="M149" s="18"/>
      <c r="P149" s="29"/>
      <c r="R149" s="18"/>
      <c r="U149" s="29"/>
      <c r="W149" s="18"/>
      <c r="Z149" s="29"/>
      <c r="AB149" s="18"/>
    </row>
    <row r="150" spans="2:41">
      <c r="B150" s="22" t="s">
        <v>548</v>
      </c>
      <c r="C150" s="22" t="str">
        <f>C72</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150" s="13" t="s">
        <v>79</v>
      </c>
      <c r="E150" s="104" t="e">
        <f>E148*C150</f>
        <v>#VALUE!</v>
      </c>
      <c r="F150" s="105" t="e">
        <f t="shared" ref="F150:AO150" si="58">E150*(1+$D$34)</f>
        <v>#VALUE!</v>
      </c>
      <c r="G150" s="105" t="e">
        <f t="shared" si="58"/>
        <v>#VALUE!</v>
      </c>
      <c r="H150" s="105" t="e">
        <f t="shared" si="58"/>
        <v>#VALUE!</v>
      </c>
      <c r="I150" s="105" t="e">
        <f t="shared" si="58"/>
        <v>#VALUE!</v>
      </c>
      <c r="J150" s="105" t="e">
        <f t="shared" si="58"/>
        <v>#VALUE!</v>
      </c>
      <c r="K150" s="105" t="e">
        <f t="shared" si="58"/>
        <v>#VALUE!</v>
      </c>
      <c r="L150" s="105" t="e">
        <f t="shared" si="58"/>
        <v>#VALUE!</v>
      </c>
      <c r="M150" s="105" t="e">
        <f t="shared" si="58"/>
        <v>#VALUE!</v>
      </c>
      <c r="N150" s="105" t="e">
        <f t="shared" si="58"/>
        <v>#VALUE!</v>
      </c>
      <c r="O150" s="105" t="e">
        <f t="shared" si="58"/>
        <v>#VALUE!</v>
      </c>
      <c r="P150" s="105" t="e">
        <f t="shared" si="58"/>
        <v>#VALUE!</v>
      </c>
      <c r="Q150" s="105" t="e">
        <f t="shared" si="58"/>
        <v>#VALUE!</v>
      </c>
      <c r="R150" s="105" t="e">
        <f t="shared" si="58"/>
        <v>#VALUE!</v>
      </c>
      <c r="S150" s="105" t="e">
        <f t="shared" si="58"/>
        <v>#VALUE!</v>
      </c>
      <c r="T150" s="105" t="e">
        <f t="shared" si="58"/>
        <v>#VALUE!</v>
      </c>
      <c r="U150" s="105" t="e">
        <f t="shared" si="58"/>
        <v>#VALUE!</v>
      </c>
      <c r="V150" s="105" t="e">
        <f t="shared" si="58"/>
        <v>#VALUE!</v>
      </c>
      <c r="W150" s="105" t="e">
        <f t="shared" si="58"/>
        <v>#VALUE!</v>
      </c>
      <c r="X150" s="105" t="e">
        <f t="shared" si="58"/>
        <v>#VALUE!</v>
      </c>
      <c r="Y150" s="105" t="e">
        <f t="shared" si="58"/>
        <v>#VALUE!</v>
      </c>
      <c r="Z150" s="105" t="e">
        <f t="shared" si="58"/>
        <v>#VALUE!</v>
      </c>
      <c r="AA150" s="105" t="e">
        <f t="shared" si="58"/>
        <v>#VALUE!</v>
      </c>
      <c r="AB150" s="105" t="e">
        <f t="shared" si="58"/>
        <v>#VALUE!</v>
      </c>
      <c r="AC150" s="105" t="e">
        <f t="shared" si="58"/>
        <v>#VALUE!</v>
      </c>
      <c r="AD150" s="105" t="e">
        <f t="shared" si="58"/>
        <v>#VALUE!</v>
      </c>
      <c r="AE150" s="105" t="e">
        <f t="shared" si="58"/>
        <v>#VALUE!</v>
      </c>
      <c r="AF150" s="105" t="e">
        <f t="shared" si="58"/>
        <v>#VALUE!</v>
      </c>
      <c r="AG150" s="105" t="e">
        <f t="shared" si="58"/>
        <v>#VALUE!</v>
      </c>
      <c r="AH150" s="105" t="e">
        <f t="shared" si="58"/>
        <v>#VALUE!</v>
      </c>
      <c r="AI150" s="105" t="e">
        <f t="shared" si="58"/>
        <v>#VALUE!</v>
      </c>
      <c r="AJ150" s="105" t="e">
        <f t="shared" si="58"/>
        <v>#VALUE!</v>
      </c>
      <c r="AK150" s="105" t="e">
        <f t="shared" si="58"/>
        <v>#VALUE!</v>
      </c>
      <c r="AL150" s="105" t="e">
        <f t="shared" si="58"/>
        <v>#VALUE!</v>
      </c>
      <c r="AM150" s="105" t="e">
        <f t="shared" si="58"/>
        <v>#VALUE!</v>
      </c>
      <c r="AN150" s="105" t="e">
        <f t="shared" si="58"/>
        <v>#VALUE!</v>
      </c>
      <c r="AO150" s="105" t="e">
        <f t="shared" si="58"/>
        <v>#VALUE!</v>
      </c>
    </row>
    <row r="151" spans="2:41">
      <c r="B151" s="22" t="s">
        <v>543</v>
      </c>
      <c r="C151" s="22">
        <v>-1</v>
      </c>
      <c r="D151" s="109">
        <f ca="1">WORKDAY(TODAY(),-1)</f>
        <v>45183</v>
      </c>
      <c r="E151" s="122" t="e">
        <f>E150/$C$35-1</f>
        <v>#VALUE!</v>
      </c>
      <c r="F151" s="122" t="e">
        <f t="shared" ref="F151:AO151" si="59">F150/$C$35-1</f>
        <v>#VALUE!</v>
      </c>
      <c r="G151" s="122" t="e">
        <f t="shared" si="59"/>
        <v>#VALUE!</v>
      </c>
      <c r="H151" s="122" t="e">
        <f t="shared" si="59"/>
        <v>#VALUE!</v>
      </c>
      <c r="I151" s="122" t="e">
        <f t="shared" si="59"/>
        <v>#VALUE!</v>
      </c>
      <c r="J151" s="122" t="e">
        <f t="shared" si="59"/>
        <v>#VALUE!</v>
      </c>
      <c r="K151" s="122" t="e">
        <f t="shared" si="59"/>
        <v>#VALUE!</v>
      </c>
      <c r="L151" s="122" t="e">
        <f t="shared" si="59"/>
        <v>#VALUE!</v>
      </c>
      <c r="M151" s="122" t="e">
        <f t="shared" si="59"/>
        <v>#VALUE!</v>
      </c>
      <c r="N151" s="122" t="e">
        <f t="shared" si="59"/>
        <v>#VALUE!</v>
      </c>
      <c r="O151" s="122" t="e">
        <f t="shared" si="59"/>
        <v>#VALUE!</v>
      </c>
      <c r="P151" s="122" t="e">
        <f t="shared" si="59"/>
        <v>#VALUE!</v>
      </c>
      <c r="Q151" s="122" t="e">
        <f t="shared" si="59"/>
        <v>#VALUE!</v>
      </c>
      <c r="R151" s="122" t="e">
        <f t="shared" si="59"/>
        <v>#VALUE!</v>
      </c>
      <c r="S151" s="122" t="e">
        <f t="shared" si="59"/>
        <v>#VALUE!</v>
      </c>
      <c r="T151" s="122" t="e">
        <f t="shared" si="59"/>
        <v>#VALUE!</v>
      </c>
      <c r="U151" s="122" t="e">
        <f t="shared" si="59"/>
        <v>#VALUE!</v>
      </c>
      <c r="V151" s="122" t="e">
        <f t="shared" si="59"/>
        <v>#VALUE!</v>
      </c>
      <c r="W151" s="122" t="e">
        <f t="shared" si="59"/>
        <v>#VALUE!</v>
      </c>
      <c r="X151" s="122" t="e">
        <f t="shared" si="59"/>
        <v>#VALUE!</v>
      </c>
      <c r="Y151" s="122" t="e">
        <f t="shared" si="59"/>
        <v>#VALUE!</v>
      </c>
      <c r="Z151" s="122" t="e">
        <f t="shared" si="59"/>
        <v>#VALUE!</v>
      </c>
      <c r="AA151" s="122" t="e">
        <f t="shared" si="59"/>
        <v>#VALUE!</v>
      </c>
      <c r="AB151" s="122" t="e">
        <f t="shared" si="59"/>
        <v>#VALUE!</v>
      </c>
      <c r="AC151" s="122" t="e">
        <f t="shared" si="59"/>
        <v>#VALUE!</v>
      </c>
      <c r="AD151" s="122" t="e">
        <f t="shared" si="59"/>
        <v>#VALUE!</v>
      </c>
      <c r="AE151" s="122" t="e">
        <f t="shared" si="59"/>
        <v>#VALUE!</v>
      </c>
      <c r="AF151" s="122" t="e">
        <f t="shared" si="59"/>
        <v>#VALUE!</v>
      </c>
      <c r="AG151" s="122" t="e">
        <f t="shared" si="59"/>
        <v>#VALUE!</v>
      </c>
      <c r="AH151" s="122" t="e">
        <f t="shared" si="59"/>
        <v>#VALUE!</v>
      </c>
      <c r="AI151" s="122" t="e">
        <f t="shared" si="59"/>
        <v>#VALUE!</v>
      </c>
      <c r="AJ151" s="122" t="e">
        <f t="shared" si="59"/>
        <v>#VALUE!</v>
      </c>
      <c r="AK151" s="122" t="e">
        <f t="shared" si="59"/>
        <v>#VALUE!</v>
      </c>
      <c r="AL151" s="122" t="e">
        <f t="shared" si="59"/>
        <v>#VALUE!</v>
      </c>
      <c r="AM151" s="122" t="e">
        <f t="shared" si="59"/>
        <v>#VALUE!</v>
      </c>
      <c r="AN151" s="122" t="e">
        <f t="shared" si="59"/>
        <v>#VALUE!</v>
      </c>
      <c r="AO151" s="122" t="e">
        <f t="shared" si="59"/>
        <v>#VALUE!</v>
      </c>
    </row>
    <row r="152" spans="2:41">
      <c r="B152" s="22" t="s">
        <v>22</v>
      </c>
      <c r="C152" s="22">
        <v>17500</v>
      </c>
      <c r="D152" s="128">
        <f ca="1">($C$153-WORKDAY(D151,1))/365</f>
        <v>-1.9369863013698629</v>
      </c>
      <c r="E152" s="110">
        <f t="shared" ref="E152:E168" ca="1" si="60">IFERROR((OptionPrice(LEFT($C$42),E$35,$C$37,$D152,$C$39,$C$41,$C$40)-$C$43)*$C$44,0)</f>
        <v>0</v>
      </c>
      <c r="F152" s="110">
        <f t="shared" ref="F152:U167" ca="1" si="61">IFERROR((OptionPrice(LEFT($C$42),F$35,$C$37,$D152,$C$39,$C$41,$C$40)-$C$43)*$C$44,0)</f>
        <v>0</v>
      </c>
      <c r="G152" s="110">
        <f t="shared" ca="1" si="61"/>
        <v>0</v>
      </c>
      <c r="H152" s="110">
        <f t="shared" ca="1" si="61"/>
        <v>0</v>
      </c>
      <c r="I152" s="110">
        <f t="shared" ca="1" si="61"/>
        <v>0</v>
      </c>
      <c r="J152" s="110">
        <f t="shared" ca="1" si="61"/>
        <v>0</v>
      </c>
      <c r="K152" s="110">
        <f t="shared" ca="1" si="61"/>
        <v>0</v>
      </c>
      <c r="L152" s="110">
        <f t="shared" ca="1" si="61"/>
        <v>0</v>
      </c>
      <c r="M152" s="110">
        <f t="shared" ca="1" si="61"/>
        <v>0</v>
      </c>
      <c r="N152" s="110">
        <f t="shared" ca="1" si="61"/>
        <v>0</v>
      </c>
      <c r="O152" s="110">
        <f t="shared" ca="1" si="61"/>
        <v>0</v>
      </c>
      <c r="P152" s="110">
        <f t="shared" ca="1" si="61"/>
        <v>0</v>
      </c>
      <c r="Q152" s="110">
        <f t="shared" ca="1" si="61"/>
        <v>0</v>
      </c>
      <c r="R152" s="110">
        <f t="shared" ca="1" si="61"/>
        <v>0</v>
      </c>
      <c r="S152" s="110">
        <f t="shared" ca="1" si="61"/>
        <v>0</v>
      </c>
      <c r="T152" s="110">
        <f t="shared" ca="1" si="61"/>
        <v>0</v>
      </c>
      <c r="U152" s="110">
        <f t="shared" ca="1" si="61"/>
        <v>0</v>
      </c>
      <c r="V152" s="110">
        <f t="shared" ref="V152:AK167" ca="1" si="62">IFERROR((OptionPrice(LEFT($C$42),V$35,$C$37,$D152,$C$39,$C$41,$C$40)-$C$43)*$C$44,0)</f>
        <v>0</v>
      </c>
      <c r="W152" s="110">
        <f t="shared" ca="1" si="62"/>
        <v>0</v>
      </c>
      <c r="X152" s="110">
        <f t="shared" ca="1" si="62"/>
        <v>0</v>
      </c>
      <c r="Y152" s="110">
        <f t="shared" ca="1" si="62"/>
        <v>0</v>
      </c>
      <c r="Z152" s="110">
        <f t="shared" ca="1" si="62"/>
        <v>0</v>
      </c>
      <c r="AA152" s="110">
        <f t="shared" ca="1" si="62"/>
        <v>0</v>
      </c>
      <c r="AB152" s="110">
        <f t="shared" ca="1" si="62"/>
        <v>0</v>
      </c>
      <c r="AC152" s="110">
        <f t="shared" ca="1" si="62"/>
        <v>0</v>
      </c>
      <c r="AD152" s="110">
        <f t="shared" ca="1" si="62"/>
        <v>0</v>
      </c>
      <c r="AE152" s="110">
        <f t="shared" ca="1" si="62"/>
        <v>0</v>
      </c>
      <c r="AF152" s="110">
        <f t="shared" ca="1" si="62"/>
        <v>0</v>
      </c>
      <c r="AG152" s="110">
        <f t="shared" ca="1" si="62"/>
        <v>0</v>
      </c>
      <c r="AH152" s="110">
        <f t="shared" ca="1" si="62"/>
        <v>0</v>
      </c>
      <c r="AI152" s="110">
        <f t="shared" ca="1" si="62"/>
        <v>0</v>
      </c>
      <c r="AJ152" s="110">
        <f t="shared" ca="1" si="62"/>
        <v>0</v>
      </c>
      <c r="AK152" s="110">
        <f t="shared" ca="1" si="62"/>
        <v>0</v>
      </c>
      <c r="AL152" s="110">
        <f t="shared" ref="AL152:AO183" ca="1" si="63">IFERROR((OptionPrice(LEFT($C$42),AL$35,$C$37,$D152,$C$39,$C$41,$C$40)-$C$43)*$C$44,0)</f>
        <v>0</v>
      </c>
      <c r="AM152" s="110">
        <f t="shared" ca="1" si="63"/>
        <v>0</v>
      </c>
      <c r="AN152" s="110">
        <f t="shared" ca="1" si="63"/>
        <v>0</v>
      </c>
      <c r="AO152" s="110">
        <f t="shared" ca="1" si="63"/>
        <v>0</v>
      </c>
    </row>
    <row r="153" spans="2:41">
      <c r="B153" s="22" t="s">
        <v>78</v>
      </c>
      <c r="C153" s="101">
        <v>44477</v>
      </c>
      <c r="D153" s="128">
        <f ca="1">D152-4/24/365</f>
        <v>-1.9374429223744292</v>
      </c>
      <c r="E153" s="110">
        <f t="shared" ca="1" si="60"/>
        <v>0</v>
      </c>
      <c r="F153" s="110">
        <f t="shared" ca="1" si="61"/>
        <v>0</v>
      </c>
      <c r="G153" s="110">
        <f t="shared" ca="1" si="61"/>
        <v>0</v>
      </c>
      <c r="H153" s="110">
        <f t="shared" ca="1" si="61"/>
        <v>0</v>
      </c>
      <c r="I153" s="110">
        <f t="shared" ca="1" si="61"/>
        <v>0</v>
      </c>
      <c r="J153" s="110">
        <f t="shared" ca="1" si="61"/>
        <v>0</v>
      </c>
      <c r="K153" s="110">
        <f t="shared" ca="1" si="61"/>
        <v>0</v>
      </c>
      <c r="L153" s="110">
        <f t="shared" ca="1" si="61"/>
        <v>0</v>
      </c>
      <c r="M153" s="110">
        <f t="shared" ca="1" si="61"/>
        <v>0</v>
      </c>
      <c r="N153" s="110">
        <f t="shared" ca="1" si="61"/>
        <v>0</v>
      </c>
      <c r="O153" s="110">
        <f t="shared" ca="1" si="61"/>
        <v>0</v>
      </c>
      <c r="P153" s="110">
        <f t="shared" ca="1" si="61"/>
        <v>0</v>
      </c>
      <c r="Q153" s="110">
        <f t="shared" ca="1" si="61"/>
        <v>0</v>
      </c>
      <c r="R153" s="110">
        <f t="shared" ca="1" si="61"/>
        <v>0</v>
      </c>
      <c r="S153" s="110">
        <f t="shared" ca="1" si="61"/>
        <v>0</v>
      </c>
      <c r="T153" s="110">
        <f t="shared" ca="1" si="61"/>
        <v>0</v>
      </c>
      <c r="U153" s="110">
        <f t="shared" ca="1" si="61"/>
        <v>0</v>
      </c>
      <c r="V153" s="110">
        <f t="shared" ca="1" si="62"/>
        <v>0</v>
      </c>
      <c r="W153" s="110">
        <f t="shared" ca="1" si="62"/>
        <v>0</v>
      </c>
      <c r="X153" s="110">
        <f t="shared" ca="1" si="62"/>
        <v>0</v>
      </c>
      <c r="Y153" s="110">
        <f t="shared" ca="1" si="62"/>
        <v>0</v>
      </c>
      <c r="Z153" s="110">
        <f t="shared" ca="1" si="62"/>
        <v>0</v>
      </c>
      <c r="AA153" s="110">
        <f t="shared" ca="1" si="62"/>
        <v>0</v>
      </c>
      <c r="AB153" s="110">
        <f t="shared" ca="1" si="62"/>
        <v>0</v>
      </c>
      <c r="AC153" s="110">
        <f t="shared" ca="1" si="62"/>
        <v>0</v>
      </c>
      <c r="AD153" s="110">
        <f t="shared" ca="1" si="62"/>
        <v>0</v>
      </c>
      <c r="AE153" s="110">
        <f t="shared" ca="1" si="62"/>
        <v>0</v>
      </c>
      <c r="AF153" s="110">
        <f t="shared" ca="1" si="62"/>
        <v>0</v>
      </c>
      <c r="AG153" s="110">
        <f t="shared" ca="1" si="62"/>
        <v>0</v>
      </c>
      <c r="AH153" s="110">
        <f t="shared" ca="1" si="62"/>
        <v>0</v>
      </c>
      <c r="AI153" s="110">
        <f t="shared" ca="1" si="62"/>
        <v>0</v>
      </c>
      <c r="AJ153" s="110">
        <f t="shared" ca="1" si="62"/>
        <v>0</v>
      </c>
      <c r="AK153" s="110">
        <f t="shared" ca="1" si="62"/>
        <v>0</v>
      </c>
      <c r="AL153" s="110">
        <f t="shared" ca="1" si="63"/>
        <v>0</v>
      </c>
      <c r="AM153" s="110">
        <f t="shared" ca="1" si="63"/>
        <v>0</v>
      </c>
      <c r="AN153" s="110">
        <f t="shared" ca="1" si="63"/>
        <v>0</v>
      </c>
      <c r="AO153" s="110">
        <f t="shared" ca="1" si="63"/>
        <v>0</v>
      </c>
    </row>
    <row r="154" spans="2:41">
      <c r="B154" s="22" t="s">
        <v>504</v>
      </c>
      <c r="C154" s="102">
        <v>0.05</v>
      </c>
      <c r="D154" s="128">
        <f t="shared" ref="D154:D183" ca="1" si="64">D153-4/24/365</f>
        <v>-1.9378995433789954</v>
      </c>
      <c r="E154" s="110">
        <f t="shared" ca="1" si="60"/>
        <v>0</v>
      </c>
      <c r="F154" s="110">
        <f t="shared" ca="1" si="61"/>
        <v>0</v>
      </c>
      <c r="G154" s="110">
        <f t="shared" ca="1" si="61"/>
        <v>0</v>
      </c>
      <c r="H154" s="110">
        <f t="shared" ca="1" si="61"/>
        <v>0</v>
      </c>
      <c r="I154" s="110">
        <f t="shared" ca="1" si="61"/>
        <v>0</v>
      </c>
      <c r="J154" s="110">
        <f t="shared" ca="1" si="61"/>
        <v>0</v>
      </c>
      <c r="K154" s="110">
        <f t="shared" ca="1" si="61"/>
        <v>0</v>
      </c>
      <c r="L154" s="110">
        <f t="shared" ca="1" si="61"/>
        <v>0</v>
      </c>
      <c r="M154" s="110">
        <f t="shared" ca="1" si="61"/>
        <v>0</v>
      </c>
      <c r="N154" s="110">
        <f t="shared" ca="1" si="61"/>
        <v>0</v>
      </c>
      <c r="O154" s="110">
        <f t="shared" ca="1" si="61"/>
        <v>0</v>
      </c>
      <c r="P154" s="110">
        <f t="shared" ca="1" si="61"/>
        <v>0</v>
      </c>
      <c r="Q154" s="110">
        <f t="shared" ca="1" si="61"/>
        <v>0</v>
      </c>
      <c r="R154" s="110">
        <f t="shared" ca="1" si="61"/>
        <v>0</v>
      </c>
      <c r="S154" s="110">
        <f t="shared" ca="1" si="61"/>
        <v>0</v>
      </c>
      <c r="T154" s="110">
        <f t="shared" ca="1" si="61"/>
        <v>0</v>
      </c>
      <c r="U154" s="110">
        <f t="shared" ca="1" si="61"/>
        <v>0</v>
      </c>
      <c r="V154" s="110">
        <f t="shared" ca="1" si="62"/>
        <v>0</v>
      </c>
      <c r="W154" s="110">
        <f t="shared" ca="1" si="62"/>
        <v>0</v>
      </c>
      <c r="X154" s="110">
        <f t="shared" ca="1" si="62"/>
        <v>0</v>
      </c>
      <c r="Y154" s="110">
        <f t="shared" ca="1" si="62"/>
        <v>0</v>
      </c>
      <c r="Z154" s="110">
        <f t="shared" ca="1" si="62"/>
        <v>0</v>
      </c>
      <c r="AA154" s="110">
        <f t="shared" ca="1" si="62"/>
        <v>0</v>
      </c>
      <c r="AB154" s="110">
        <f t="shared" ca="1" si="62"/>
        <v>0</v>
      </c>
      <c r="AC154" s="110">
        <f t="shared" ca="1" si="62"/>
        <v>0</v>
      </c>
      <c r="AD154" s="110">
        <f t="shared" ca="1" si="62"/>
        <v>0</v>
      </c>
      <c r="AE154" s="110">
        <f t="shared" ca="1" si="62"/>
        <v>0</v>
      </c>
      <c r="AF154" s="110">
        <f t="shared" ca="1" si="62"/>
        <v>0</v>
      </c>
      <c r="AG154" s="110">
        <f t="shared" ca="1" si="62"/>
        <v>0</v>
      </c>
      <c r="AH154" s="110">
        <f t="shared" ca="1" si="62"/>
        <v>0</v>
      </c>
      <c r="AI154" s="110">
        <f t="shared" ca="1" si="62"/>
        <v>0</v>
      </c>
      <c r="AJ154" s="110">
        <f t="shared" ca="1" si="62"/>
        <v>0</v>
      </c>
      <c r="AK154" s="110">
        <f t="shared" ca="1" si="62"/>
        <v>0</v>
      </c>
      <c r="AL154" s="110">
        <f t="shared" ca="1" si="63"/>
        <v>0</v>
      </c>
      <c r="AM154" s="110">
        <f t="shared" ca="1" si="63"/>
        <v>0</v>
      </c>
      <c r="AN154" s="110">
        <f t="shared" ca="1" si="63"/>
        <v>0</v>
      </c>
      <c r="AO154" s="110">
        <f t="shared" ca="1" si="63"/>
        <v>0</v>
      </c>
    </row>
    <row r="155" spans="2:41">
      <c r="B155" s="22" t="s">
        <v>539</v>
      </c>
      <c r="C155" s="103">
        <v>1.0699999999999999E-2</v>
      </c>
      <c r="D155" s="128">
        <f t="shared" ca="1" si="64"/>
        <v>-1.9383561643835616</v>
      </c>
      <c r="E155" s="110">
        <f t="shared" ca="1" si="60"/>
        <v>0</v>
      </c>
      <c r="F155" s="110">
        <f t="shared" ca="1" si="61"/>
        <v>0</v>
      </c>
      <c r="G155" s="110">
        <f t="shared" ca="1" si="61"/>
        <v>0</v>
      </c>
      <c r="H155" s="110">
        <f t="shared" ca="1" si="61"/>
        <v>0</v>
      </c>
      <c r="I155" s="110">
        <f t="shared" ca="1" si="61"/>
        <v>0</v>
      </c>
      <c r="J155" s="110">
        <f t="shared" ca="1" si="61"/>
        <v>0</v>
      </c>
      <c r="K155" s="110">
        <f t="shared" ca="1" si="61"/>
        <v>0</v>
      </c>
      <c r="L155" s="110">
        <f t="shared" ca="1" si="61"/>
        <v>0</v>
      </c>
      <c r="M155" s="110">
        <f t="shared" ca="1" si="61"/>
        <v>0</v>
      </c>
      <c r="N155" s="110">
        <f t="shared" ca="1" si="61"/>
        <v>0</v>
      </c>
      <c r="O155" s="110">
        <f t="shared" ca="1" si="61"/>
        <v>0</v>
      </c>
      <c r="P155" s="110">
        <f t="shared" ca="1" si="61"/>
        <v>0</v>
      </c>
      <c r="Q155" s="110">
        <f t="shared" ca="1" si="61"/>
        <v>0</v>
      </c>
      <c r="R155" s="110">
        <f t="shared" ca="1" si="61"/>
        <v>0</v>
      </c>
      <c r="S155" s="110">
        <f t="shared" ca="1" si="61"/>
        <v>0</v>
      </c>
      <c r="T155" s="110">
        <f t="shared" ca="1" si="61"/>
        <v>0</v>
      </c>
      <c r="U155" s="110">
        <f t="shared" ca="1" si="61"/>
        <v>0</v>
      </c>
      <c r="V155" s="110">
        <f t="shared" ca="1" si="62"/>
        <v>0</v>
      </c>
      <c r="W155" s="110">
        <f t="shared" ca="1" si="62"/>
        <v>0</v>
      </c>
      <c r="X155" s="110">
        <f t="shared" ca="1" si="62"/>
        <v>0</v>
      </c>
      <c r="Y155" s="110">
        <f t="shared" ca="1" si="62"/>
        <v>0</v>
      </c>
      <c r="Z155" s="110">
        <f t="shared" ca="1" si="62"/>
        <v>0</v>
      </c>
      <c r="AA155" s="110">
        <f t="shared" ca="1" si="62"/>
        <v>0</v>
      </c>
      <c r="AB155" s="110">
        <f t="shared" ca="1" si="62"/>
        <v>0</v>
      </c>
      <c r="AC155" s="110">
        <f t="shared" ca="1" si="62"/>
        <v>0</v>
      </c>
      <c r="AD155" s="110">
        <f t="shared" ca="1" si="62"/>
        <v>0</v>
      </c>
      <c r="AE155" s="110">
        <f t="shared" ca="1" si="62"/>
        <v>0</v>
      </c>
      <c r="AF155" s="110">
        <f t="shared" ca="1" si="62"/>
        <v>0</v>
      </c>
      <c r="AG155" s="110">
        <f t="shared" ca="1" si="62"/>
        <v>0</v>
      </c>
      <c r="AH155" s="110">
        <f t="shared" ca="1" si="62"/>
        <v>0</v>
      </c>
      <c r="AI155" s="110">
        <f t="shared" ca="1" si="62"/>
        <v>0</v>
      </c>
      <c r="AJ155" s="110">
        <f t="shared" ca="1" si="62"/>
        <v>0</v>
      </c>
      <c r="AK155" s="110">
        <f t="shared" ca="1" si="62"/>
        <v>0</v>
      </c>
      <c r="AL155" s="110">
        <f t="shared" ca="1" si="63"/>
        <v>0</v>
      </c>
      <c r="AM155" s="110">
        <f t="shared" ca="1" si="63"/>
        <v>0</v>
      </c>
      <c r="AN155" s="110">
        <f t="shared" ca="1" si="63"/>
        <v>0</v>
      </c>
      <c r="AO155" s="110">
        <f t="shared" ca="1" si="63"/>
        <v>0</v>
      </c>
    </row>
    <row r="156" spans="2:41">
      <c r="B156" s="22" t="s">
        <v>505</v>
      </c>
      <c r="C156" s="103">
        <v>0.2145</v>
      </c>
      <c r="D156" s="128">
        <f t="shared" ca="1" si="64"/>
        <v>-1.9388127853881278</v>
      </c>
      <c r="E156" s="110">
        <f t="shared" ca="1" si="60"/>
        <v>0</v>
      </c>
      <c r="F156" s="110">
        <f t="shared" ca="1" si="61"/>
        <v>0</v>
      </c>
      <c r="G156" s="110">
        <f t="shared" ca="1" si="61"/>
        <v>0</v>
      </c>
      <c r="H156" s="110">
        <f t="shared" ca="1" si="61"/>
        <v>0</v>
      </c>
      <c r="I156" s="110">
        <f t="shared" ca="1" si="61"/>
        <v>0</v>
      </c>
      <c r="J156" s="110">
        <f t="shared" ca="1" si="61"/>
        <v>0</v>
      </c>
      <c r="K156" s="110">
        <f t="shared" ca="1" si="61"/>
        <v>0</v>
      </c>
      <c r="L156" s="110">
        <f t="shared" ca="1" si="61"/>
        <v>0</v>
      </c>
      <c r="M156" s="110">
        <f t="shared" ca="1" si="61"/>
        <v>0</v>
      </c>
      <c r="N156" s="110">
        <f t="shared" ca="1" si="61"/>
        <v>0</v>
      </c>
      <c r="O156" s="110">
        <f t="shared" ca="1" si="61"/>
        <v>0</v>
      </c>
      <c r="P156" s="110">
        <f t="shared" ca="1" si="61"/>
        <v>0</v>
      </c>
      <c r="Q156" s="110">
        <f t="shared" ca="1" si="61"/>
        <v>0</v>
      </c>
      <c r="R156" s="110">
        <f t="shared" ca="1" si="61"/>
        <v>0</v>
      </c>
      <c r="S156" s="110">
        <f t="shared" ca="1" si="61"/>
        <v>0</v>
      </c>
      <c r="T156" s="110">
        <f t="shared" ca="1" si="61"/>
        <v>0</v>
      </c>
      <c r="U156" s="110">
        <f t="shared" ca="1" si="61"/>
        <v>0</v>
      </c>
      <c r="V156" s="110">
        <f t="shared" ca="1" si="62"/>
        <v>0</v>
      </c>
      <c r="W156" s="110">
        <f t="shared" ca="1" si="62"/>
        <v>0</v>
      </c>
      <c r="X156" s="110">
        <f t="shared" ca="1" si="62"/>
        <v>0</v>
      </c>
      <c r="Y156" s="110">
        <f t="shared" ca="1" si="62"/>
        <v>0</v>
      </c>
      <c r="Z156" s="110">
        <f t="shared" ca="1" si="62"/>
        <v>0</v>
      </c>
      <c r="AA156" s="110">
        <f t="shared" ca="1" si="62"/>
        <v>0</v>
      </c>
      <c r="AB156" s="110">
        <f t="shared" ca="1" si="62"/>
        <v>0</v>
      </c>
      <c r="AC156" s="110">
        <f t="shared" ca="1" si="62"/>
        <v>0</v>
      </c>
      <c r="AD156" s="110">
        <f t="shared" ca="1" si="62"/>
        <v>0</v>
      </c>
      <c r="AE156" s="110">
        <f t="shared" ca="1" si="62"/>
        <v>0</v>
      </c>
      <c r="AF156" s="110">
        <f t="shared" ca="1" si="62"/>
        <v>0</v>
      </c>
      <c r="AG156" s="110">
        <f t="shared" ca="1" si="62"/>
        <v>0</v>
      </c>
      <c r="AH156" s="110">
        <f t="shared" ca="1" si="62"/>
        <v>0</v>
      </c>
      <c r="AI156" s="110">
        <f t="shared" ca="1" si="62"/>
        <v>0</v>
      </c>
      <c r="AJ156" s="110">
        <f t="shared" ca="1" si="62"/>
        <v>0</v>
      </c>
      <c r="AK156" s="110">
        <f t="shared" ca="1" si="62"/>
        <v>0</v>
      </c>
      <c r="AL156" s="110">
        <f t="shared" ca="1" si="63"/>
        <v>0</v>
      </c>
      <c r="AM156" s="110">
        <f t="shared" ca="1" si="63"/>
        <v>0</v>
      </c>
      <c r="AN156" s="110">
        <f t="shared" ca="1" si="63"/>
        <v>0</v>
      </c>
      <c r="AO156" s="110">
        <f t="shared" ca="1" si="63"/>
        <v>0</v>
      </c>
    </row>
    <row r="157" spans="2:41">
      <c r="B157" s="22" t="s">
        <v>540</v>
      </c>
      <c r="C157" s="22" t="s">
        <v>482</v>
      </c>
      <c r="D157" s="128">
        <f t="shared" ca="1" si="64"/>
        <v>-1.9392694063926941</v>
      </c>
      <c r="E157" s="110">
        <f t="shared" ca="1" si="60"/>
        <v>0</v>
      </c>
      <c r="F157" s="110">
        <f t="shared" ca="1" si="61"/>
        <v>0</v>
      </c>
      <c r="G157" s="110">
        <f t="shared" ca="1" si="61"/>
        <v>0</v>
      </c>
      <c r="H157" s="110">
        <f t="shared" ca="1" si="61"/>
        <v>0</v>
      </c>
      <c r="I157" s="110">
        <f t="shared" ca="1" si="61"/>
        <v>0</v>
      </c>
      <c r="J157" s="110">
        <f t="shared" ca="1" si="61"/>
        <v>0</v>
      </c>
      <c r="K157" s="110">
        <f t="shared" ca="1" si="61"/>
        <v>0</v>
      </c>
      <c r="L157" s="110">
        <f t="shared" ca="1" si="61"/>
        <v>0</v>
      </c>
      <c r="M157" s="110">
        <f t="shared" ca="1" si="61"/>
        <v>0</v>
      </c>
      <c r="N157" s="110">
        <f t="shared" ca="1" si="61"/>
        <v>0</v>
      </c>
      <c r="O157" s="110">
        <f t="shared" ca="1" si="61"/>
        <v>0</v>
      </c>
      <c r="P157" s="110">
        <f t="shared" ca="1" si="61"/>
        <v>0</v>
      </c>
      <c r="Q157" s="110">
        <f ca="1">IFERROR((OptionPrice(LEFT($C$42),Q$35,$C$37,$D157,$C$39,$C$41,$C$40)-$C$43)*$C$44,0)</f>
        <v>0</v>
      </c>
      <c r="R157" s="110">
        <f t="shared" ca="1" si="61"/>
        <v>0</v>
      </c>
      <c r="S157" s="110">
        <f t="shared" ca="1" si="61"/>
        <v>0</v>
      </c>
      <c r="T157" s="110">
        <f t="shared" ca="1" si="61"/>
        <v>0</v>
      </c>
      <c r="U157" s="110">
        <f t="shared" ca="1" si="61"/>
        <v>0</v>
      </c>
      <c r="V157" s="110">
        <f t="shared" ca="1" si="62"/>
        <v>0</v>
      </c>
      <c r="W157" s="110">
        <f t="shared" ca="1" si="62"/>
        <v>0</v>
      </c>
      <c r="X157" s="110">
        <f t="shared" ca="1" si="62"/>
        <v>0</v>
      </c>
      <c r="Y157" s="110">
        <f t="shared" ca="1" si="62"/>
        <v>0</v>
      </c>
      <c r="Z157" s="110">
        <f t="shared" ca="1" si="62"/>
        <v>0</v>
      </c>
      <c r="AA157" s="110">
        <f t="shared" ca="1" si="62"/>
        <v>0</v>
      </c>
      <c r="AB157" s="110">
        <f t="shared" ca="1" si="62"/>
        <v>0</v>
      </c>
      <c r="AC157" s="110">
        <f t="shared" ca="1" si="62"/>
        <v>0</v>
      </c>
      <c r="AD157" s="110">
        <f t="shared" ca="1" si="62"/>
        <v>0</v>
      </c>
      <c r="AE157" s="110">
        <f t="shared" ca="1" si="62"/>
        <v>0</v>
      </c>
      <c r="AF157" s="110">
        <f t="shared" ca="1" si="62"/>
        <v>0</v>
      </c>
      <c r="AG157" s="110">
        <f t="shared" ca="1" si="62"/>
        <v>0</v>
      </c>
      <c r="AH157" s="110">
        <f t="shared" ca="1" si="62"/>
        <v>0</v>
      </c>
      <c r="AI157" s="110">
        <f t="shared" ca="1" si="62"/>
        <v>0</v>
      </c>
      <c r="AJ157" s="110">
        <f t="shared" ca="1" si="62"/>
        <v>0</v>
      </c>
      <c r="AK157" s="110">
        <f t="shared" ca="1" si="62"/>
        <v>0</v>
      </c>
      <c r="AL157" s="110">
        <f t="shared" ca="1" si="63"/>
        <v>0</v>
      </c>
      <c r="AM157" s="110">
        <f t="shared" ca="1" si="63"/>
        <v>0</v>
      </c>
      <c r="AN157" s="110">
        <f t="shared" ca="1" si="63"/>
        <v>0</v>
      </c>
      <c r="AO157" s="110">
        <f t="shared" ca="1" si="63"/>
        <v>0</v>
      </c>
    </row>
    <row r="158" spans="2:41">
      <c r="B158" s="22" t="s">
        <v>23</v>
      </c>
      <c r="C158" s="22">
        <v>19.989999999999998</v>
      </c>
      <c r="D158" s="128">
        <f t="shared" ca="1" si="64"/>
        <v>-1.9397260273972603</v>
      </c>
      <c r="E158" s="110">
        <f t="shared" ca="1" si="60"/>
        <v>0</v>
      </c>
      <c r="F158" s="110">
        <f t="shared" ca="1" si="61"/>
        <v>0</v>
      </c>
      <c r="G158" s="110">
        <f t="shared" ca="1" si="61"/>
        <v>0</v>
      </c>
      <c r="H158" s="110">
        <f t="shared" ca="1" si="61"/>
        <v>0</v>
      </c>
      <c r="I158" s="110">
        <f t="shared" ca="1" si="61"/>
        <v>0</v>
      </c>
      <c r="J158" s="110">
        <f t="shared" ca="1" si="61"/>
        <v>0</v>
      </c>
      <c r="K158" s="110">
        <f t="shared" ca="1" si="61"/>
        <v>0</v>
      </c>
      <c r="L158" s="110">
        <f t="shared" ca="1" si="61"/>
        <v>0</v>
      </c>
      <c r="M158" s="110">
        <f t="shared" ca="1" si="61"/>
        <v>0</v>
      </c>
      <c r="N158" s="110">
        <f t="shared" ca="1" si="61"/>
        <v>0</v>
      </c>
      <c r="O158" s="110">
        <f t="shared" ca="1" si="61"/>
        <v>0</v>
      </c>
      <c r="P158" s="110">
        <f t="shared" ca="1" si="61"/>
        <v>0</v>
      </c>
      <c r="Q158" s="110">
        <f t="shared" ca="1" si="61"/>
        <v>0</v>
      </c>
      <c r="R158" s="110">
        <f t="shared" ca="1" si="61"/>
        <v>0</v>
      </c>
      <c r="S158" s="110">
        <f t="shared" ca="1" si="61"/>
        <v>0</v>
      </c>
      <c r="T158" s="110">
        <f t="shared" ca="1" si="61"/>
        <v>0</v>
      </c>
      <c r="U158" s="110">
        <f t="shared" ca="1" si="61"/>
        <v>0</v>
      </c>
      <c r="V158" s="110">
        <f t="shared" ca="1" si="62"/>
        <v>0</v>
      </c>
      <c r="W158" s="110">
        <f t="shared" ca="1" si="62"/>
        <v>0</v>
      </c>
      <c r="X158" s="110">
        <f t="shared" ca="1" si="62"/>
        <v>0</v>
      </c>
      <c r="Y158" s="110">
        <f t="shared" ca="1" si="62"/>
        <v>0</v>
      </c>
      <c r="Z158" s="110">
        <f t="shared" ca="1" si="62"/>
        <v>0</v>
      </c>
      <c r="AA158" s="110">
        <f t="shared" ca="1" si="62"/>
        <v>0</v>
      </c>
      <c r="AB158" s="110">
        <f t="shared" ca="1" si="62"/>
        <v>0</v>
      </c>
      <c r="AC158" s="110">
        <f t="shared" ca="1" si="62"/>
        <v>0</v>
      </c>
      <c r="AD158" s="110">
        <f t="shared" ca="1" si="62"/>
        <v>0</v>
      </c>
      <c r="AE158" s="110">
        <f t="shared" ca="1" si="62"/>
        <v>0</v>
      </c>
      <c r="AF158" s="110">
        <f t="shared" ca="1" si="62"/>
        <v>0</v>
      </c>
      <c r="AG158" s="110">
        <f t="shared" ca="1" si="62"/>
        <v>0</v>
      </c>
      <c r="AH158" s="110">
        <f t="shared" ca="1" si="62"/>
        <v>0</v>
      </c>
      <c r="AI158" s="110">
        <f t="shared" ca="1" si="62"/>
        <v>0</v>
      </c>
      <c r="AJ158" s="110">
        <f t="shared" ca="1" si="62"/>
        <v>0</v>
      </c>
      <c r="AK158" s="110">
        <f t="shared" ca="1" si="62"/>
        <v>0</v>
      </c>
      <c r="AL158" s="110">
        <f t="shared" ca="1" si="63"/>
        <v>0</v>
      </c>
      <c r="AM158" s="110">
        <f t="shared" ca="1" si="63"/>
        <v>0</v>
      </c>
      <c r="AN158" s="110">
        <f t="shared" ca="1" si="63"/>
        <v>0</v>
      </c>
      <c r="AO158" s="110">
        <f t="shared" ca="1" si="63"/>
        <v>0</v>
      </c>
    </row>
    <row r="159" spans="2:41">
      <c r="B159" s="22" t="s">
        <v>3</v>
      </c>
      <c r="C159" s="22">
        <v>600</v>
      </c>
      <c r="D159" s="128">
        <f t="shared" ca="1" si="64"/>
        <v>-1.9401826484018265</v>
      </c>
      <c r="E159" s="110">
        <f t="shared" ca="1" si="60"/>
        <v>0</v>
      </c>
      <c r="F159" s="110">
        <f t="shared" ca="1" si="61"/>
        <v>0</v>
      </c>
      <c r="G159" s="110">
        <f t="shared" ca="1" si="61"/>
        <v>0</v>
      </c>
      <c r="H159" s="110">
        <f t="shared" ca="1" si="61"/>
        <v>0</v>
      </c>
      <c r="I159" s="110">
        <f t="shared" ca="1" si="61"/>
        <v>0</v>
      </c>
      <c r="J159" s="110">
        <f t="shared" ca="1" si="61"/>
        <v>0</v>
      </c>
      <c r="K159" s="110">
        <f t="shared" ca="1" si="61"/>
        <v>0</v>
      </c>
      <c r="L159" s="110">
        <f t="shared" ca="1" si="61"/>
        <v>0</v>
      </c>
      <c r="M159" s="110">
        <f t="shared" ca="1" si="61"/>
        <v>0</v>
      </c>
      <c r="N159" s="110">
        <f t="shared" ca="1" si="61"/>
        <v>0</v>
      </c>
      <c r="O159" s="110">
        <f t="shared" ca="1" si="61"/>
        <v>0</v>
      </c>
      <c r="P159" s="110">
        <f t="shared" ca="1" si="61"/>
        <v>0</v>
      </c>
      <c r="Q159" s="110">
        <f t="shared" ca="1" si="61"/>
        <v>0</v>
      </c>
      <c r="R159" s="110">
        <f t="shared" ca="1" si="61"/>
        <v>0</v>
      </c>
      <c r="S159" s="110">
        <f t="shared" ca="1" si="61"/>
        <v>0</v>
      </c>
      <c r="T159" s="110">
        <f t="shared" ca="1" si="61"/>
        <v>0</v>
      </c>
      <c r="U159" s="110">
        <f t="shared" ca="1" si="61"/>
        <v>0</v>
      </c>
      <c r="V159" s="110">
        <f t="shared" ca="1" si="62"/>
        <v>0</v>
      </c>
      <c r="W159" s="110">
        <f t="shared" ca="1" si="62"/>
        <v>0</v>
      </c>
      <c r="X159" s="110">
        <f t="shared" ca="1" si="62"/>
        <v>0</v>
      </c>
      <c r="Y159" s="110">
        <f t="shared" ca="1" si="62"/>
        <v>0</v>
      </c>
      <c r="Z159" s="110">
        <f t="shared" ca="1" si="62"/>
        <v>0</v>
      </c>
      <c r="AA159" s="110">
        <f t="shared" ca="1" si="62"/>
        <v>0</v>
      </c>
      <c r="AB159" s="110">
        <f t="shared" ca="1" si="62"/>
        <v>0</v>
      </c>
      <c r="AC159" s="110">
        <f t="shared" ca="1" si="62"/>
        <v>0</v>
      </c>
      <c r="AD159" s="110">
        <f t="shared" ca="1" si="62"/>
        <v>0</v>
      </c>
      <c r="AE159" s="110">
        <f t="shared" ca="1" si="62"/>
        <v>0</v>
      </c>
      <c r="AF159" s="110">
        <f t="shared" ca="1" si="62"/>
        <v>0</v>
      </c>
      <c r="AG159" s="110">
        <f t="shared" ca="1" si="62"/>
        <v>0</v>
      </c>
      <c r="AH159" s="110">
        <f t="shared" ca="1" si="62"/>
        <v>0</v>
      </c>
      <c r="AI159" s="110">
        <f t="shared" ca="1" si="62"/>
        <v>0</v>
      </c>
      <c r="AJ159" s="110">
        <f t="shared" ca="1" si="62"/>
        <v>0</v>
      </c>
      <c r="AK159" s="110">
        <f t="shared" ca="1" si="62"/>
        <v>0</v>
      </c>
      <c r="AL159" s="110">
        <f t="shared" ca="1" si="63"/>
        <v>0</v>
      </c>
      <c r="AM159" s="110">
        <f t="shared" ca="1" si="63"/>
        <v>0</v>
      </c>
      <c r="AN159" s="110">
        <f t="shared" ca="1" si="63"/>
        <v>0</v>
      </c>
      <c r="AO159" s="110">
        <f t="shared" ca="1" si="63"/>
        <v>0</v>
      </c>
    </row>
    <row r="160" spans="2:41">
      <c r="B160" s="22" t="s">
        <v>537</v>
      </c>
      <c r="C160" s="121" t="e">
        <f ca="1">ImpliedVolatility(LEFT(C157),C150,C152,C154,C162,C155,C161,35%)</f>
        <v>#VALUE!</v>
      </c>
      <c r="D160" s="128">
        <f t="shared" ca="1" si="64"/>
        <v>-1.9406392694063928</v>
      </c>
      <c r="E160" s="110">
        <f t="shared" ca="1" si="60"/>
        <v>0</v>
      </c>
      <c r="F160" s="110">
        <f t="shared" ca="1" si="61"/>
        <v>0</v>
      </c>
      <c r="G160" s="110">
        <f t="shared" ca="1" si="61"/>
        <v>0</v>
      </c>
      <c r="H160" s="110">
        <f t="shared" ca="1" si="61"/>
        <v>0</v>
      </c>
      <c r="I160" s="110">
        <f t="shared" ca="1" si="61"/>
        <v>0</v>
      </c>
      <c r="J160" s="110">
        <f t="shared" ca="1" si="61"/>
        <v>0</v>
      </c>
      <c r="K160" s="110">
        <f t="shared" ca="1" si="61"/>
        <v>0</v>
      </c>
      <c r="L160" s="110">
        <f t="shared" ca="1" si="61"/>
        <v>0</v>
      </c>
      <c r="M160" s="110">
        <f t="shared" ca="1" si="61"/>
        <v>0</v>
      </c>
      <c r="N160" s="110">
        <f t="shared" ca="1" si="61"/>
        <v>0</v>
      </c>
      <c r="O160" s="110">
        <f t="shared" ca="1" si="61"/>
        <v>0</v>
      </c>
      <c r="P160" s="110">
        <f t="shared" ca="1" si="61"/>
        <v>0</v>
      </c>
      <c r="Q160" s="110">
        <f t="shared" ca="1" si="61"/>
        <v>0</v>
      </c>
      <c r="R160" s="110">
        <f t="shared" ca="1" si="61"/>
        <v>0</v>
      </c>
      <c r="S160" s="110">
        <f t="shared" ca="1" si="61"/>
        <v>0</v>
      </c>
      <c r="T160" s="110">
        <f t="shared" ca="1" si="61"/>
        <v>0</v>
      </c>
      <c r="U160" s="110">
        <f t="shared" ca="1" si="61"/>
        <v>0</v>
      </c>
      <c r="V160" s="110">
        <f t="shared" ca="1" si="62"/>
        <v>0</v>
      </c>
      <c r="W160" s="110">
        <f t="shared" ca="1" si="62"/>
        <v>0</v>
      </c>
      <c r="X160" s="110">
        <f t="shared" ca="1" si="62"/>
        <v>0</v>
      </c>
      <c r="Y160" s="110">
        <f t="shared" ca="1" si="62"/>
        <v>0</v>
      </c>
      <c r="Z160" s="110">
        <f t="shared" ca="1" si="62"/>
        <v>0</v>
      </c>
      <c r="AA160" s="110">
        <f t="shared" ca="1" si="62"/>
        <v>0</v>
      </c>
      <c r="AB160" s="110">
        <f t="shared" ca="1" si="62"/>
        <v>0</v>
      </c>
      <c r="AC160" s="110">
        <f t="shared" ca="1" si="62"/>
        <v>0</v>
      </c>
      <c r="AD160" s="110">
        <f t="shared" ca="1" si="62"/>
        <v>0</v>
      </c>
      <c r="AE160" s="110">
        <f t="shared" ca="1" si="62"/>
        <v>0</v>
      </c>
      <c r="AF160" s="110">
        <f t="shared" ca="1" si="62"/>
        <v>0</v>
      </c>
      <c r="AG160" s="110">
        <f t="shared" ca="1" si="62"/>
        <v>0</v>
      </c>
      <c r="AH160" s="110">
        <f t="shared" ca="1" si="62"/>
        <v>0</v>
      </c>
      <c r="AI160" s="110">
        <f t="shared" ca="1" si="62"/>
        <v>0</v>
      </c>
      <c r="AJ160" s="110">
        <f t="shared" ca="1" si="62"/>
        <v>0</v>
      </c>
      <c r="AK160" s="110">
        <f t="shared" ca="1" si="62"/>
        <v>0</v>
      </c>
      <c r="AL160" s="110">
        <f t="shared" ca="1" si="63"/>
        <v>0</v>
      </c>
      <c r="AM160" s="110">
        <f t="shared" ca="1" si="63"/>
        <v>0</v>
      </c>
      <c r="AN160" s="110">
        <f t="shared" ca="1" si="63"/>
        <v>0</v>
      </c>
      <c r="AO160" s="110">
        <f t="shared" ca="1" si="63"/>
        <v>0</v>
      </c>
    </row>
    <row r="161" spans="2:41">
      <c r="B161" s="22" t="s">
        <v>487</v>
      </c>
      <c r="C161" s="22">
        <v>25.9</v>
      </c>
      <c r="D161" s="128">
        <f t="shared" ca="1" si="64"/>
        <v>-1.941095890410959</v>
      </c>
      <c r="E161" s="110">
        <f t="shared" ca="1" si="60"/>
        <v>0</v>
      </c>
      <c r="F161" s="110">
        <f t="shared" ca="1" si="61"/>
        <v>0</v>
      </c>
      <c r="G161" s="110">
        <f t="shared" ca="1" si="61"/>
        <v>0</v>
      </c>
      <c r="H161" s="110">
        <f t="shared" ca="1" si="61"/>
        <v>0</v>
      </c>
      <c r="I161" s="110">
        <f t="shared" ca="1" si="61"/>
        <v>0</v>
      </c>
      <c r="J161" s="110">
        <f t="shared" ca="1" si="61"/>
        <v>0</v>
      </c>
      <c r="K161" s="110">
        <f t="shared" ca="1" si="61"/>
        <v>0</v>
      </c>
      <c r="L161" s="110">
        <f t="shared" ca="1" si="61"/>
        <v>0</v>
      </c>
      <c r="M161" s="110">
        <f t="shared" ca="1" si="61"/>
        <v>0</v>
      </c>
      <c r="N161" s="110">
        <f t="shared" ca="1" si="61"/>
        <v>0</v>
      </c>
      <c r="O161" s="110">
        <f t="shared" ca="1" si="61"/>
        <v>0</v>
      </c>
      <c r="P161" s="110">
        <f t="shared" ca="1" si="61"/>
        <v>0</v>
      </c>
      <c r="Q161" s="110">
        <f t="shared" ca="1" si="61"/>
        <v>0</v>
      </c>
      <c r="R161" s="110">
        <f t="shared" ca="1" si="61"/>
        <v>0</v>
      </c>
      <c r="S161" s="110">
        <f t="shared" ca="1" si="61"/>
        <v>0</v>
      </c>
      <c r="T161" s="110">
        <f t="shared" ca="1" si="61"/>
        <v>0</v>
      </c>
      <c r="U161" s="110">
        <f t="shared" ca="1" si="61"/>
        <v>0</v>
      </c>
      <c r="V161" s="110">
        <f t="shared" ca="1" si="62"/>
        <v>0</v>
      </c>
      <c r="W161" s="110">
        <f t="shared" ca="1" si="62"/>
        <v>0</v>
      </c>
      <c r="X161" s="110">
        <f t="shared" ca="1" si="62"/>
        <v>0</v>
      </c>
      <c r="Y161" s="110">
        <f t="shared" ca="1" si="62"/>
        <v>0</v>
      </c>
      <c r="Z161" s="110">
        <f t="shared" ca="1" si="62"/>
        <v>0</v>
      </c>
      <c r="AA161" s="110">
        <f t="shared" ca="1" si="62"/>
        <v>0</v>
      </c>
      <c r="AB161" s="110">
        <f t="shared" ca="1" si="62"/>
        <v>0</v>
      </c>
      <c r="AC161" s="110">
        <f t="shared" ca="1" si="62"/>
        <v>0</v>
      </c>
      <c r="AD161" s="110">
        <f t="shared" ca="1" si="62"/>
        <v>0</v>
      </c>
      <c r="AE161" s="110">
        <f t="shared" ca="1" si="62"/>
        <v>0</v>
      </c>
      <c r="AF161" s="110">
        <f t="shared" ca="1" si="62"/>
        <v>0</v>
      </c>
      <c r="AG161" s="110">
        <f t="shared" ca="1" si="62"/>
        <v>0</v>
      </c>
      <c r="AH161" s="110">
        <f t="shared" ca="1" si="62"/>
        <v>0</v>
      </c>
      <c r="AI161" s="110">
        <f t="shared" ca="1" si="62"/>
        <v>0</v>
      </c>
      <c r="AJ161" s="110">
        <f t="shared" ca="1" si="62"/>
        <v>0</v>
      </c>
      <c r="AK161" s="110">
        <f t="shared" ca="1" si="62"/>
        <v>0</v>
      </c>
      <c r="AL161" s="110">
        <f t="shared" ca="1" si="63"/>
        <v>0</v>
      </c>
      <c r="AM161" s="110">
        <f t="shared" ca="1" si="63"/>
        <v>0</v>
      </c>
      <c r="AN161" s="110">
        <f t="shared" ca="1" si="63"/>
        <v>0</v>
      </c>
      <c r="AO161" s="110">
        <f t="shared" ca="1" si="63"/>
        <v>0</v>
      </c>
    </row>
    <row r="162" spans="2:41">
      <c r="B162" s="22" t="s">
        <v>556</v>
      </c>
      <c r="C162" s="22">
        <f ca="1">(C153-TODAY())/365</f>
        <v>-1.9369863013698629</v>
      </c>
      <c r="D162" s="128">
        <f t="shared" ca="1" si="64"/>
        <v>-1.9415525114155252</v>
      </c>
      <c r="E162" s="110">
        <f t="shared" ca="1" si="60"/>
        <v>0</v>
      </c>
      <c r="F162" s="110">
        <f t="shared" ca="1" si="61"/>
        <v>0</v>
      </c>
      <c r="G162" s="110">
        <f t="shared" ca="1" si="61"/>
        <v>0</v>
      </c>
      <c r="H162" s="110">
        <f t="shared" ca="1" si="61"/>
        <v>0</v>
      </c>
      <c r="I162" s="110">
        <f t="shared" ca="1" si="61"/>
        <v>0</v>
      </c>
      <c r="J162" s="110">
        <f t="shared" ca="1" si="61"/>
        <v>0</v>
      </c>
      <c r="K162" s="110">
        <f t="shared" ca="1" si="61"/>
        <v>0</v>
      </c>
      <c r="L162" s="110">
        <f t="shared" ca="1" si="61"/>
        <v>0</v>
      </c>
      <c r="M162" s="110">
        <f t="shared" ca="1" si="61"/>
        <v>0</v>
      </c>
      <c r="N162" s="110">
        <f t="shared" ca="1" si="61"/>
        <v>0</v>
      </c>
      <c r="O162" s="110">
        <f t="shared" ca="1" si="61"/>
        <v>0</v>
      </c>
      <c r="P162" s="110">
        <f t="shared" ca="1" si="61"/>
        <v>0</v>
      </c>
      <c r="Q162" s="110">
        <f t="shared" ca="1" si="61"/>
        <v>0</v>
      </c>
      <c r="R162" s="110">
        <f t="shared" ca="1" si="61"/>
        <v>0</v>
      </c>
      <c r="S162" s="110">
        <f t="shared" ca="1" si="61"/>
        <v>0</v>
      </c>
      <c r="T162" s="110">
        <f t="shared" ca="1" si="61"/>
        <v>0</v>
      </c>
      <c r="U162" s="110">
        <f t="shared" ca="1" si="61"/>
        <v>0</v>
      </c>
      <c r="V162" s="110">
        <f t="shared" ca="1" si="62"/>
        <v>0</v>
      </c>
      <c r="W162" s="110">
        <f t="shared" ca="1" si="62"/>
        <v>0</v>
      </c>
      <c r="X162" s="110">
        <f t="shared" ca="1" si="62"/>
        <v>0</v>
      </c>
      <c r="Y162" s="110">
        <f t="shared" ca="1" si="62"/>
        <v>0</v>
      </c>
      <c r="Z162" s="110">
        <f t="shared" ca="1" si="62"/>
        <v>0</v>
      </c>
      <c r="AA162" s="110">
        <f t="shared" ca="1" si="62"/>
        <v>0</v>
      </c>
      <c r="AB162" s="110">
        <f t="shared" ca="1" si="62"/>
        <v>0</v>
      </c>
      <c r="AC162" s="110">
        <f t="shared" ca="1" si="62"/>
        <v>0</v>
      </c>
      <c r="AD162" s="110">
        <f t="shared" ca="1" si="62"/>
        <v>0</v>
      </c>
      <c r="AE162" s="110">
        <f t="shared" ca="1" si="62"/>
        <v>0</v>
      </c>
      <c r="AF162" s="110">
        <f t="shared" ca="1" si="62"/>
        <v>0</v>
      </c>
      <c r="AG162" s="110">
        <f t="shared" ca="1" si="62"/>
        <v>0</v>
      </c>
      <c r="AH162" s="110">
        <f t="shared" ca="1" si="62"/>
        <v>0</v>
      </c>
      <c r="AI162" s="110">
        <f t="shared" ca="1" si="62"/>
        <v>0</v>
      </c>
      <c r="AJ162" s="110">
        <f t="shared" ca="1" si="62"/>
        <v>0</v>
      </c>
      <c r="AK162" s="110">
        <f t="shared" ca="1" si="62"/>
        <v>0</v>
      </c>
      <c r="AL162" s="110">
        <f t="shared" ca="1" si="63"/>
        <v>0</v>
      </c>
      <c r="AM162" s="110">
        <f t="shared" ca="1" si="63"/>
        <v>0</v>
      </c>
      <c r="AN162" s="110">
        <f t="shared" ca="1" si="63"/>
        <v>0</v>
      </c>
      <c r="AO162" s="110">
        <f t="shared" ca="1" si="63"/>
        <v>0</v>
      </c>
    </row>
    <row r="163" spans="2:41">
      <c r="D163" s="128">
        <f t="shared" ca="1" si="64"/>
        <v>-1.9420091324200914</v>
      </c>
      <c r="E163" s="110">
        <f t="shared" ca="1" si="60"/>
        <v>0</v>
      </c>
      <c r="F163" s="110">
        <f t="shared" ca="1" si="61"/>
        <v>0</v>
      </c>
      <c r="G163" s="110">
        <f t="shared" ca="1" si="61"/>
        <v>0</v>
      </c>
      <c r="H163" s="110">
        <f t="shared" ca="1" si="61"/>
        <v>0</v>
      </c>
      <c r="I163" s="110">
        <f t="shared" ca="1" si="61"/>
        <v>0</v>
      </c>
      <c r="J163" s="110">
        <f t="shared" ca="1" si="61"/>
        <v>0</v>
      </c>
      <c r="K163" s="110">
        <f t="shared" ca="1" si="61"/>
        <v>0</v>
      </c>
      <c r="L163" s="110">
        <f t="shared" ca="1" si="61"/>
        <v>0</v>
      </c>
      <c r="M163" s="110">
        <f t="shared" ca="1" si="61"/>
        <v>0</v>
      </c>
      <c r="N163" s="110">
        <f t="shared" ca="1" si="61"/>
        <v>0</v>
      </c>
      <c r="O163" s="110">
        <f t="shared" ca="1" si="61"/>
        <v>0</v>
      </c>
      <c r="P163" s="110">
        <f t="shared" ca="1" si="61"/>
        <v>0</v>
      </c>
      <c r="Q163" s="110">
        <f t="shared" ca="1" si="61"/>
        <v>0</v>
      </c>
      <c r="R163" s="110">
        <f t="shared" ca="1" si="61"/>
        <v>0</v>
      </c>
      <c r="S163" s="110">
        <f t="shared" ca="1" si="61"/>
        <v>0</v>
      </c>
      <c r="T163" s="110">
        <f t="shared" ca="1" si="61"/>
        <v>0</v>
      </c>
      <c r="U163" s="110">
        <f t="shared" ca="1" si="61"/>
        <v>0</v>
      </c>
      <c r="V163" s="110">
        <f t="shared" ca="1" si="62"/>
        <v>0</v>
      </c>
      <c r="W163" s="110">
        <f t="shared" ca="1" si="62"/>
        <v>0</v>
      </c>
      <c r="X163" s="110">
        <f t="shared" ca="1" si="62"/>
        <v>0</v>
      </c>
      <c r="Y163" s="110">
        <f t="shared" ca="1" si="62"/>
        <v>0</v>
      </c>
      <c r="Z163" s="110">
        <f t="shared" ca="1" si="62"/>
        <v>0</v>
      </c>
      <c r="AA163" s="110">
        <f t="shared" ca="1" si="62"/>
        <v>0</v>
      </c>
      <c r="AB163" s="110">
        <f t="shared" ca="1" si="62"/>
        <v>0</v>
      </c>
      <c r="AC163" s="110">
        <f t="shared" ca="1" si="62"/>
        <v>0</v>
      </c>
      <c r="AD163" s="110">
        <f t="shared" ca="1" si="62"/>
        <v>0</v>
      </c>
      <c r="AE163" s="110">
        <f t="shared" ca="1" si="62"/>
        <v>0</v>
      </c>
      <c r="AF163" s="110">
        <f t="shared" ca="1" si="62"/>
        <v>0</v>
      </c>
      <c r="AG163" s="110">
        <f t="shared" ca="1" si="62"/>
        <v>0</v>
      </c>
      <c r="AH163" s="110">
        <f t="shared" ca="1" si="62"/>
        <v>0</v>
      </c>
      <c r="AI163" s="110">
        <f t="shared" ca="1" si="62"/>
        <v>0</v>
      </c>
      <c r="AJ163" s="110">
        <f t="shared" ca="1" si="62"/>
        <v>0</v>
      </c>
      <c r="AK163" s="110">
        <f t="shared" ca="1" si="62"/>
        <v>0</v>
      </c>
      <c r="AL163" s="110">
        <f t="shared" ca="1" si="63"/>
        <v>0</v>
      </c>
      <c r="AM163" s="110">
        <f t="shared" ca="1" si="63"/>
        <v>0</v>
      </c>
      <c r="AN163" s="110">
        <f t="shared" ca="1" si="63"/>
        <v>0</v>
      </c>
      <c r="AO163" s="110">
        <f t="shared" ca="1" si="63"/>
        <v>0</v>
      </c>
    </row>
    <row r="164" spans="2:41">
      <c r="D164" s="128">
        <f t="shared" ca="1" si="64"/>
        <v>-1.9424657534246577</v>
      </c>
      <c r="E164" s="110">
        <f t="shared" ca="1" si="60"/>
        <v>0</v>
      </c>
      <c r="F164" s="110">
        <f t="shared" ca="1" si="61"/>
        <v>0</v>
      </c>
      <c r="G164" s="110">
        <f t="shared" ca="1" si="61"/>
        <v>0</v>
      </c>
      <c r="H164" s="110">
        <f t="shared" ca="1" si="61"/>
        <v>0</v>
      </c>
      <c r="I164" s="110">
        <f t="shared" ca="1" si="61"/>
        <v>0</v>
      </c>
      <c r="J164" s="110">
        <f t="shared" ca="1" si="61"/>
        <v>0</v>
      </c>
      <c r="K164" s="110">
        <f t="shared" ca="1" si="61"/>
        <v>0</v>
      </c>
      <c r="L164" s="110">
        <f t="shared" ca="1" si="61"/>
        <v>0</v>
      </c>
      <c r="M164" s="110">
        <f t="shared" ca="1" si="61"/>
        <v>0</v>
      </c>
      <c r="N164" s="110">
        <f t="shared" ca="1" si="61"/>
        <v>0</v>
      </c>
      <c r="O164" s="110">
        <f t="shared" ca="1" si="61"/>
        <v>0</v>
      </c>
      <c r="P164" s="110">
        <f t="shared" ca="1" si="61"/>
        <v>0</v>
      </c>
      <c r="Q164" s="110">
        <f t="shared" ca="1" si="61"/>
        <v>0</v>
      </c>
      <c r="R164" s="110">
        <f t="shared" ca="1" si="61"/>
        <v>0</v>
      </c>
      <c r="S164" s="110">
        <f t="shared" ca="1" si="61"/>
        <v>0</v>
      </c>
      <c r="T164" s="110">
        <f t="shared" ca="1" si="61"/>
        <v>0</v>
      </c>
      <c r="U164" s="110">
        <f t="shared" ca="1" si="61"/>
        <v>0</v>
      </c>
      <c r="V164" s="110">
        <f t="shared" ca="1" si="62"/>
        <v>0</v>
      </c>
      <c r="W164" s="110">
        <f t="shared" ca="1" si="62"/>
        <v>0</v>
      </c>
      <c r="X164" s="110">
        <f t="shared" ca="1" si="62"/>
        <v>0</v>
      </c>
      <c r="Y164" s="110">
        <f t="shared" ca="1" si="62"/>
        <v>0</v>
      </c>
      <c r="Z164" s="110">
        <f t="shared" ca="1" si="62"/>
        <v>0</v>
      </c>
      <c r="AA164" s="110">
        <f t="shared" ca="1" si="62"/>
        <v>0</v>
      </c>
      <c r="AB164" s="110">
        <f t="shared" ca="1" si="62"/>
        <v>0</v>
      </c>
      <c r="AC164" s="110">
        <f t="shared" ca="1" si="62"/>
        <v>0</v>
      </c>
      <c r="AD164" s="110">
        <f t="shared" ca="1" si="62"/>
        <v>0</v>
      </c>
      <c r="AE164" s="110">
        <f t="shared" ca="1" si="62"/>
        <v>0</v>
      </c>
      <c r="AF164" s="110">
        <f t="shared" ca="1" si="62"/>
        <v>0</v>
      </c>
      <c r="AG164" s="110">
        <f t="shared" ca="1" si="62"/>
        <v>0</v>
      </c>
      <c r="AH164" s="110">
        <f t="shared" ca="1" si="62"/>
        <v>0</v>
      </c>
      <c r="AI164" s="110">
        <f t="shared" ca="1" si="62"/>
        <v>0</v>
      </c>
      <c r="AJ164" s="110">
        <f t="shared" ca="1" si="62"/>
        <v>0</v>
      </c>
      <c r="AK164" s="110">
        <f t="shared" ca="1" si="62"/>
        <v>0</v>
      </c>
      <c r="AL164" s="110">
        <f t="shared" ca="1" si="63"/>
        <v>0</v>
      </c>
      <c r="AM164" s="110">
        <f t="shared" ca="1" si="63"/>
        <v>0</v>
      </c>
      <c r="AN164" s="110">
        <f t="shared" ca="1" si="63"/>
        <v>0</v>
      </c>
      <c r="AO164" s="110">
        <f t="shared" ca="1" si="63"/>
        <v>0</v>
      </c>
    </row>
    <row r="165" spans="2:41">
      <c r="D165" s="128">
        <f t="shared" ca="1" si="64"/>
        <v>-1.9429223744292239</v>
      </c>
      <c r="E165" s="110">
        <f t="shared" ca="1" si="60"/>
        <v>0</v>
      </c>
      <c r="F165" s="110">
        <f t="shared" ca="1" si="61"/>
        <v>0</v>
      </c>
      <c r="G165" s="110">
        <f t="shared" ca="1" si="61"/>
        <v>0</v>
      </c>
      <c r="H165" s="110">
        <f t="shared" ca="1" si="61"/>
        <v>0</v>
      </c>
      <c r="I165" s="110">
        <f t="shared" ca="1" si="61"/>
        <v>0</v>
      </c>
      <c r="J165" s="110">
        <f t="shared" ca="1" si="61"/>
        <v>0</v>
      </c>
      <c r="K165" s="110">
        <f t="shared" ca="1" si="61"/>
        <v>0</v>
      </c>
      <c r="L165" s="110">
        <f t="shared" ca="1" si="61"/>
        <v>0</v>
      </c>
      <c r="M165" s="110">
        <f t="shared" ca="1" si="61"/>
        <v>0</v>
      </c>
      <c r="N165" s="110">
        <f t="shared" ca="1" si="61"/>
        <v>0</v>
      </c>
      <c r="O165" s="110">
        <f t="shared" ca="1" si="61"/>
        <v>0</v>
      </c>
      <c r="P165" s="110">
        <f t="shared" ca="1" si="61"/>
        <v>0</v>
      </c>
      <c r="Q165" s="110">
        <f t="shared" ca="1" si="61"/>
        <v>0</v>
      </c>
      <c r="R165" s="110">
        <f t="shared" ca="1" si="61"/>
        <v>0</v>
      </c>
      <c r="S165" s="110">
        <f t="shared" ca="1" si="61"/>
        <v>0</v>
      </c>
      <c r="T165" s="110">
        <f t="shared" ca="1" si="61"/>
        <v>0</v>
      </c>
      <c r="U165" s="110">
        <f t="shared" ca="1" si="61"/>
        <v>0</v>
      </c>
      <c r="V165" s="110">
        <f t="shared" ca="1" si="62"/>
        <v>0</v>
      </c>
      <c r="W165" s="110">
        <f t="shared" ca="1" si="62"/>
        <v>0</v>
      </c>
      <c r="X165" s="110">
        <f t="shared" ca="1" si="62"/>
        <v>0</v>
      </c>
      <c r="Y165" s="110">
        <f t="shared" ca="1" si="62"/>
        <v>0</v>
      </c>
      <c r="Z165" s="110">
        <f t="shared" ca="1" si="62"/>
        <v>0</v>
      </c>
      <c r="AA165" s="110">
        <f t="shared" ca="1" si="62"/>
        <v>0</v>
      </c>
      <c r="AB165" s="110">
        <f t="shared" ca="1" si="62"/>
        <v>0</v>
      </c>
      <c r="AC165" s="110">
        <f t="shared" ca="1" si="62"/>
        <v>0</v>
      </c>
      <c r="AD165" s="110">
        <f t="shared" ca="1" si="62"/>
        <v>0</v>
      </c>
      <c r="AE165" s="110">
        <f t="shared" ca="1" si="62"/>
        <v>0</v>
      </c>
      <c r="AF165" s="110">
        <f t="shared" ca="1" si="62"/>
        <v>0</v>
      </c>
      <c r="AG165" s="110">
        <f t="shared" ca="1" si="62"/>
        <v>0</v>
      </c>
      <c r="AH165" s="110">
        <f t="shared" ca="1" si="62"/>
        <v>0</v>
      </c>
      <c r="AI165" s="110">
        <f t="shared" ca="1" si="62"/>
        <v>0</v>
      </c>
      <c r="AJ165" s="110">
        <f t="shared" ca="1" si="62"/>
        <v>0</v>
      </c>
      <c r="AK165" s="110">
        <f t="shared" ca="1" si="62"/>
        <v>0</v>
      </c>
      <c r="AL165" s="110">
        <f t="shared" ca="1" si="63"/>
        <v>0</v>
      </c>
      <c r="AM165" s="110">
        <f t="shared" ca="1" si="63"/>
        <v>0</v>
      </c>
      <c r="AN165" s="110">
        <f t="shared" ca="1" si="63"/>
        <v>0</v>
      </c>
      <c r="AO165" s="110">
        <f t="shared" ca="1" si="63"/>
        <v>0</v>
      </c>
    </row>
    <row r="166" spans="2:41">
      <c r="D166" s="128">
        <f t="shared" ca="1" si="64"/>
        <v>-1.9433789954337901</v>
      </c>
      <c r="E166" s="110">
        <f t="shared" ca="1" si="60"/>
        <v>0</v>
      </c>
      <c r="F166" s="110">
        <f t="shared" ca="1" si="61"/>
        <v>0</v>
      </c>
      <c r="G166" s="110">
        <f t="shared" ca="1" si="61"/>
        <v>0</v>
      </c>
      <c r="H166" s="110">
        <f t="shared" ca="1" si="61"/>
        <v>0</v>
      </c>
      <c r="I166" s="110">
        <f t="shared" ca="1" si="61"/>
        <v>0</v>
      </c>
      <c r="J166" s="110">
        <f t="shared" ca="1" si="61"/>
        <v>0</v>
      </c>
      <c r="K166" s="110">
        <f t="shared" ca="1" si="61"/>
        <v>0</v>
      </c>
      <c r="L166" s="110">
        <f t="shared" ca="1" si="61"/>
        <v>0</v>
      </c>
      <c r="M166" s="110">
        <f t="shared" ca="1" si="61"/>
        <v>0</v>
      </c>
      <c r="N166" s="110">
        <f t="shared" ca="1" si="61"/>
        <v>0</v>
      </c>
      <c r="O166" s="110">
        <f t="shared" ca="1" si="61"/>
        <v>0</v>
      </c>
      <c r="P166" s="110">
        <f t="shared" ca="1" si="61"/>
        <v>0</v>
      </c>
      <c r="Q166" s="110">
        <f t="shared" ca="1" si="61"/>
        <v>0</v>
      </c>
      <c r="R166" s="110">
        <f t="shared" ca="1" si="61"/>
        <v>0</v>
      </c>
      <c r="S166" s="110">
        <f t="shared" ca="1" si="61"/>
        <v>0</v>
      </c>
      <c r="T166" s="110">
        <f t="shared" ca="1" si="61"/>
        <v>0</v>
      </c>
      <c r="U166" s="110">
        <f t="shared" ca="1" si="61"/>
        <v>0</v>
      </c>
      <c r="V166" s="110">
        <f t="shared" ca="1" si="62"/>
        <v>0</v>
      </c>
      <c r="W166" s="110">
        <f t="shared" ca="1" si="62"/>
        <v>0</v>
      </c>
      <c r="X166" s="110">
        <f t="shared" ca="1" si="62"/>
        <v>0</v>
      </c>
      <c r="Y166" s="110">
        <f t="shared" ca="1" si="62"/>
        <v>0</v>
      </c>
      <c r="Z166" s="110">
        <f t="shared" ca="1" si="62"/>
        <v>0</v>
      </c>
      <c r="AA166" s="110">
        <f t="shared" ca="1" si="62"/>
        <v>0</v>
      </c>
      <c r="AB166" s="110">
        <f t="shared" ca="1" si="62"/>
        <v>0</v>
      </c>
      <c r="AC166" s="110">
        <f t="shared" ca="1" si="62"/>
        <v>0</v>
      </c>
      <c r="AD166" s="110">
        <f t="shared" ca="1" si="62"/>
        <v>0</v>
      </c>
      <c r="AE166" s="110">
        <f t="shared" ca="1" si="62"/>
        <v>0</v>
      </c>
      <c r="AF166" s="110">
        <f t="shared" ca="1" si="62"/>
        <v>0</v>
      </c>
      <c r="AG166" s="110">
        <f t="shared" ca="1" si="62"/>
        <v>0</v>
      </c>
      <c r="AH166" s="110">
        <f t="shared" ca="1" si="62"/>
        <v>0</v>
      </c>
      <c r="AI166" s="110">
        <f t="shared" ca="1" si="62"/>
        <v>0</v>
      </c>
      <c r="AJ166" s="110">
        <f t="shared" ca="1" si="62"/>
        <v>0</v>
      </c>
      <c r="AK166" s="110">
        <f t="shared" ca="1" si="62"/>
        <v>0</v>
      </c>
      <c r="AL166" s="110">
        <f t="shared" ca="1" si="63"/>
        <v>0</v>
      </c>
      <c r="AM166" s="110">
        <f t="shared" ca="1" si="63"/>
        <v>0</v>
      </c>
      <c r="AN166" s="110">
        <f t="shared" ca="1" si="63"/>
        <v>0</v>
      </c>
      <c r="AO166" s="110">
        <f t="shared" ca="1" si="63"/>
        <v>0</v>
      </c>
    </row>
    <row r="167" spans="2:41">
      <c r="D167" s="128">
        <f t="shared" ca="1" si="64"/>
        <v>-1.9438356164383563</v>
      </c>
      <c r="E167" s="110">
        <f t="shared" ca="1" si="60"/>
        <v>0</v>
      </c>
      <c r="F167" s="110">
        <f t="shared" ca="1" si="61"/>
        <v>0</v>
      </c>
      <c r="G167" s="110">
        <f t="shared" ca="1" si="61"/>
        <v>0</v>
      </c>
      <c r="H167" s="110">
        <f t="shared" ca="1" si="61"/>
        <v>0</v>
      </c>
      <c r="I167" s="110">
        <f t="shared" ca="1" si="61"/>
        <v>0</v>
      </c>
      <c r="J167" s="110">
        <f t="shared" ca="1" si="61"/>
        <v>0</v>
      </c>
      <c r="K167" s="110">
        <f t="shared" ca="1" si="61"/>
        <v>0</v>
      </c>
      <c r="L167" s="110">
        <f t="shared" ca="1" si="61"/>
        <v>0</v>
      </c>
      <c r="M167" s="110">
        <f t="shared" ca="1" si="61"/>
        <v>0</v>
      </c>
      <c r="N167" s="110">
        <f t="shared" ca="1" si="61"/>
        <v>0</v>
      </c>
      <c r="O167" s="110">
        <f t="shared" ca="1" si="61"/>
        <v>0</v>
      </c>
      <c r="P167" s="110">
        <f t="shared" ca="1" si="61"/>
        <v>0</v>
      </c>
      <c r="Q167" s="110">
        <f t="shared" ca="1" si="61"/>
        <v>0</v>
      </c>
      <c r="R167" s="110">
        <f t="shared" ca="1" si="61"/>
        <v>0</v>
      </c>
      <c r="S167" s="110">
        <f t="shared" ca="1" si="61"/>
        <v>0</v>
      </c>
      <c r="T167" s="110">
        <f t="shared" ca="1" si="61"/>
        <v>0</v>
      </c>
      <c r="U167" s="110">
        <f t="shared" ref="U167:AJ182" ca="1" si="65">IFERROR((OptionPrice(LEFT($C$42),U$35,$C$37,$D167,$C$39,$C$41,$C$40)-$C$43)*$C$44,0)</f>
        <v>0</v>
      </c>
      <c r="V167" s="110">
        <f t="shared" ca="1" si="62"/>
        <v>0</v>
      </c>
      <c r="W167" s="110">
        <f t="shared" ca="1" si="62"/>
        <v>0</v>
      </c>
      <c r="X167" s="110">
        <f t="shared" ca="1" si="62"/>
        <v>0</v>
      </c>
      <c r="Y167" s="110">
        <f t="shared" ca="1" si="62"/>
        <v>0</v>
      </c>
      <c r="Z167" s="110">
        <f t="shared" ca="1" si="62"/>
        <v>0</v>
      </c>
      <c r="AA167" s="110">
        <f t="shared" ca="1" si="62"/>
        <v>0</v>
      </c>
      <c r="AB167" s="110">
        <f t="shared" ca="1" si="62"/>
        <v>0</v>
      </c>
      <c r="AC167" s="110">
        <f t="shared" ca="1" si="62"/>
        <v>0</v>
      </c>
      <c r="AD167" s="110">
        <f t="shared" ca="1" si="62"/>
        <v>0</v>
      </c>
      <c r="AE167" s="110">
        <f t="shared" ca="1" si="62"/>
        <v>0</v>
      </c>
      <c r="AF167" s="110">
        <f t="shared" ca="1" si="62"/>
        <v>0</v>
      </c>
      <c r="AG167" s="110">
        <f t="shared" ca="1" si="62"/>
        <v>0</v>
      </c>
      <c r="AH167" s="110">
        <f t="shared" ca="1" si="62"/>
        <v>0</v>
      </c>
      <c r="AI167" s="110">
        <f t="shared" ca="1" si="62"/>
        <v>0</v>
      </c>
      <c r="AJ167" s="110">
        <f t="shared" ca="1" si="62"/>
        <v>0</v>
      </c>
      <c r="AK167" s="110">
        <f t="shared" ref="AK167:AK182" ca="1" si="66">IFERROR((OptionPrice(LEFT($C$42),AK$35,$C$37,$D167,$C$39,$C$41,$C$40)-$C$43)*$C$44,0)</f>
        <v>0</v>
      </c>
      <c r="AL167" s="110">
        <f t="shared" ca="1" si="63"/>
        <v>0</v>
      </c>
      <c r="AM167" s="110">
        <f t="shared" ca="1" si="63"/>
        <v>0</v>
      </c>
      <c r="AN167" s="110">
        <f t="shared" ca="1" si="63"/>
        <v>0</v>
      </c>
      <c r="AO167" s="110">
        <f t="shared" ca="1" si="63"/>
        <v>0</v>
      </c>
    </row>
    <row r="168" spans="2:41">
      <c r="D168" s="128">
        <f t="shared" ca="1" si="64"/>
        <v>-1.9442922374429226</v>
      </c>
      <c r="E168" s="110">
        <f t="shared" ca="1" si="60"/>
        <v>0</v>
      </c>
      <c r="F168" s="110">
        <f t="shared" ref="F168:T168" ca="1" si="67">IFERROR((OptionPrice(LEFT($C$42),F$35,$C$37,$D168,$C$39,$C$41,$C$40)-$C$43)*$C$44,0)</f>
        <v>0</v>
      </c>
      <c r="G168" s="110">
        <f t="shared" ca="1" si="67"/>
        <v>0</v>
      </c>
      <c r="H168" s="110">
        <f t="shared" ca="1" si="67"/>
        <v>0</v>
      </c>
      <c r="I168" s="110">
        <f t="shared" ca="1" si="67"/>
        <v>0</v>
      </c>
      <c r="J168" s="110">
        <f t="shared" ca="1" si="67"/>
        <v>0</v>
      </c>
      <c r="K168" s="110">
        <f t="shared" ca="1" si="67"/>
        <v>0</v>
      </c>
      <c r="L168" s="110">
        <f t="shared" ca="1" si="67"/>
        <v>0</v>
      </c>
      <c r="M168" s="110">
        <f t="shared" ca="1" si="67"/>
        <v>0</v>
      </c>
      <c r="N168" s="110">
        <f t="shared" ca="1" si="67"/>
        <v>0</v>
      </c>
      <c r="O168" s="110">
        <f t="shared" ca="1" si="67"/>
        <v>0</v>
      </c>
      <c r="P168" s="110">
        <f t="shared" ca="1" si="67"/>
        <v>0</v>
      </c>
      <c r="Q168" s="110">
        <f t="shared" ca="1" si="67"/>
        <v>0</v>
      </c>
      <c r="R168" s="110">
        <f t="shared" ca="1" si="67"/>
        <v>0</v>
      </c>
      <c r="S168" s="110">
        <f t="shared" ca="1" si="67"/>
        <v>0</v>
      </c>
      <c r="T168" s="110">
        <f t="shared" ca="1" si="67"/>
        <v>0</v>
      </c>
      <c r="U168" s="110">
        <f t="shared" ca="1" si="65"/>
        <v>0</v>
      </c>
      <c r="V168" s="110">
        <f t="shared" ca="1" si="65"/>
        <v>0</v>
      </c>
      <c r="W168" s="110">
        <f t="shared" ca="1" si="65"/>
        <v>0</v>
      </c>
      <c r="X168" s="110">
        <f t="shared" ca="1" si="65"/>
        <v>0</v>
      </c>
      <c r="Y168" s="110">
        <f t="shared" ca="1" si="65"/>
        <v>0</v>
      </c>
      <c r="Z168" s="110">
        <f t="shared" ca="1" si="65"/>
        <v>0</v>
      </c>
      <c r="AA168" s="110">
        <f t="shared" ca="1" si="65"/>
        <v>0</v>
      </c>
      <c r="AB168" s="110">
        <f t="shared" ca="1" si="65"/>
        <v>0</v>
      </c>
      <c r="AC168" s="110">
        <f t="shared" ca="1" si="65"/>
        <v>0</v>
      </c>
      <c r="AD168" s="110">
        <f t="shared" ca="1" si="65"/>
        <v>0</v>
      </c>
      <c r="AE168" s="110">
        <f t="shared" ca="1" si="65"/>
        <v>0</v>
      </c>
      <c r="AF168" s="110">
        <f t="shared" ca="1" si="65"/>
        <v>0</v>
      </c>
      <c r="AG168" s="110">
        <f t="shared" ca="1" si="65"/>
        <v>0</v>
      </c>
      <c r="AH168" s="110">
        <f t="shared" ca="1" si="65"/>
        <v>0</v>
      </c>
      <c r="AI168" s="110">
        <f t="shared" ca="1" si="65"/>
        <v>0</v>
      </c>
      <c r="AJ168" s="110">
        <f t="shared" ca="1" si="65"/>
        <v>0</v>
      </c>
      <c r="AK168" s="110">
        <f t="shared" ca="1" si="66"/>
        <v>0</v>
      </c>
      <c r="AL168" s="110">
        <f t="shared" ca="1" si="63"/>
        <v>0</v>
      </c>
      <c r="AM168" s="110">
        <f t="shared" ca="1" si="63"/>
        <v>0</v>
      </c>
      <c r="AN168" s="110">
        <f t="shared" ca="1" si="63"/>
        <v>0</v>
      </c>
      <c r="AO168" s="110">
        <f t="shared" ca="1" si="63"/>
        <v>0</v>
      </c>
    </row>
    <row r="169" spans="2:41">
      <c r="D169" s="128">
        <f t="shared" ca="1" si="64"/>
        <v>-1.9447488584474888</v>
      </c>
      <c r="E169" s="110">
        <f t="shared" ref="E169:T183" ca="1" si="68">IFERROR((OptionPrice(LEFT($C$42),E$35,$C$37,$D169,$C$39,$C$41,$C$40)-$C$43)*$C$44,0)</f>
        <v>0</v>
      </c>
      <c r="F169" s="110">
        <f t="shared" ca="1" si="68"/>
        <v>0</v>
      </c>
      <c r="G169" s="110">
        <f t="shared" ca="1" si="68"/>
        <v>0</v>
      </c>
      <c r="H169" s="110">
        <f t="shared" ca="1" si="68"/>
        <v>0</v>
      </c>
      <c r="I169" s="110">
        <f t="shared" ca="1" si="68"/>
        <v>0</v>
      </c>
      <c r="J169" s="110">
        <f t="shared" ca="1" si="68"/>
        <v>0</v>
      </c>
      <c r="K169" s="110">
        <f t="shared" ca="1" si="68"/>
        <v>0</v>
      </c>
      <c r="L169" s="110">
        <f t="shared" ca="1" si="68"/>
        <v>0</v>
      </c>
      <c r="M169" s="110">
        <f t="shared" ca="1" si="68"/>
        <v>0</v>
      </c>
      <c r="N169" s="110">
        <f t="shared" ca="1" si="68"/>
        <v>0</v>
      </c>
      <c r="O169" s="110">
        <f t="shared" ca="1" si="68"/>
        <v>0</v>
      </c>
      <c r="P169" s="110">
        <f t="shared" ca="1" si="68"/>
        <v>0</v>
      </c>
      <c r="Q169" s="110">
        <f t="shared" ca="1" si="68"/>
        <v>0</v>
      </c>
      <c r="R169" s="110">
        <f t="shared" ca="1" si="68"/>
        <v>0</v>
      </c>
      <c r="S169" s="110">
        <f t="shared" ca="1" si="68"/>
        <v>0</v>
      </c>
      <c r="T169" s="110">
        <f t="shared" ca="1" si="68"/>
        <v>0</v>
      </c>
      <c r="U169" s="110">
        <f t="shared" ca="1" si="65"/>
        <v>0</v>
      </c>
      <c r="V169" s="110">
        <f t="shared" ca="1" si="65"/>
        <v>0</v>
      </c>
      <c r="W169" s="110">
        <f t="shared" ca="1" si="65"/>
        <v>0</v>
      </c>
      <c r="X169" s="110">
        <f t="shared" ca="1" si="65"/>
        <v>0</v>
      </c>
      <c r="Y169" s="110">
        <f t="shared" ca="1" si="65"/>
        <v>0</v>
      </c>
      <c r="Z169" s="110">
        <f t="shared" ca="1" si="65"/>
        <v>0</v>
      </c>
      <c r="AA169" s="110">
        <f t="shared" ca="1" si="65"/>
        <v>0</v>
      </c>
      <c r="AB169" s="110">
        <f t="shared" ca="1" si="65"/>
        <v>0</v>
      </c>
      <c r="AC169" s="110">
        <f t="shared" ca="1" si="65"/>
        <v>0</v>
      </c>
      <c r="AD169" s="110">
        <f t="shared" ca="1" si="65"/>
        <v>0</v>
      </c>
      <c r="AE169" s="110">
        <f t="shared" ca="1" si="65"/>
        <v>0</v>
      </c>
      <c r="AF169" s="110">
        <f t="shared" ca="1" si="65"/>
        <v>0</v>
      </c>
      <c r="AG169" s="110">
        <f t="shared" ca="1" si="65"/>
        <v>0</v>
      </c>
      <c r="AH169" s="110">
        <f t="shared" ca="1" si="65"/>
        <v>0</v>
      </c>
      <c r="AI169" s="110">
        <f t="shared" ca="1" si="65"/>
        <v>0</v>
      </c>
      <c r="AJ169" s="110">
        <f t="shared" ca="1" si="65"/>
        <v>0</v>
      </c>
      <c r="AK169" s="110">
        <f t="shared" ca="1" si="66"/>
        <v>0</v>
      </c>
      <c r="AL169" s="110">
        <f t="shared" ca="1" si="63"/>
        <v>0</v>
      </c>
      <c r="AM169" s="110">
        <f t="shared" ca="1" si="63"/>
        <v>0</v>
      </c>
      <c r="AN169" s="110">
        <f t="shared" ca="1" si="63"/>
        <v>0</v>
      </c>
      <c r="AO169" s="110">
        <f t="shared" ca="1" si="63"/>
        <v>0</v>
      </c>
    </row>
    <row r="170" spans="2:41">
      <c r="D170" s="128">
        <f t="shared" ca="1" si="64"/>
        <v>-1.945205479452055</v>
      </c>
      <c r="E170" s="110">
        <f t="shared" ca="1" si="68"/>
        <v>0</v>
      </c>
      <c r="F170" s="110">
        <f t="shared" ca="1" si="68"/>
        <v>0</v>
      </c>
      <c r="G170" s="110">
        <f t="shared" ca="1" si="68"/>
        <v>0</v>
      </c>
      <c r="H170" s="110">
        <f t="shared" ca="1" si="68"/>
        <v>0</v>
      </c>
      <c r="I170" s="110">
        <f t="shared" ca="1" si="68"/>
        <v>0</v>
      </c>
      <c r="J170" s="110">
        <f t="shared" ca="1" si="68"/>
        <v>0</v>
      </c>
      <c r="K170" s="110">
        <f t="shared" ca="1" si="68"/>
        <v>0</v>
      </c>
      <c r="L170" s="110">
        <f t="shared" ca="1" si="68"/>
        <v>0</v>
      </c>
      <c r="M170" s="110">
        <f t="shared" ca="1" si="68"/>
        <v>0</v>
      </c>
      <c r="N170" s="110">
        <f t="shared" ca="1" si="68"/>
        <v>0</v>
      </c>
      <c r="O170" s="110">
        <f t="shared" ca="1" si="68"/>
        <v>0</v>
      </c>
      <c r="P170" s="110">
        <f t="shared" ca="1" si="68"/>
        <v>0</v>
      </c>
      <c r="Q170" s="110">
        <f t="shared" ca="1" si="68"/>
        <v>0</v>
      </c>
      <c r="R170" s="110">
        <f t="shared" ca="1" si="68"/>
        <v>0</v>
      </c>
      <c r="S170" s="110">
        <f t="shared" ca="1" si="68"/>
        <v>0</v>
      </c>
      <c r="T170" s="110">
        <f t="shared" ca="1" si="68"/>
        <v>0</v>
      </c>
      <c r="U170" s="110">
        <f t="shared" ca="1" si="65"/>
        <v>0</v>
      </c>
      <c r="V170" s="110">
        <f t="shared" ca="1" si="65"/>
        <v>0</v>
      </c>
      <c r="W170" s="110">
        <f t="shared" ca="1" si="65"/>
        <v>0</v>
      </c>
      <c r="X170" s="110">
        <f t="shared" ca="1" si="65"/>
        <v>0</v>
      </c>
      <c r="Y170" s="110">
        <f t="shared" ca="1" si="65"/>
        <v>0</v>
      </c>
      <c r="Z170" s="110">
        <f t="shared" ca="1" si="65"/>
        <v>0</v>
      </c>
      <c r="AA170" s="110">
        <f t="shared" ca="1" si="65"/>
        <v>0</v>
      </c>
      <c r="AB170" s="110">
        <f t="shared" ca="1" si="65"/>
        <v>0</v>
      </c>
      <c r="AC170" s="110">
        <f t="shared" ca="1" si="65"/>
        <v>0</v>
      </c>
      <c r="AD170" s="110">
        <f t="shared" ca="1" si="65"/>
        <v>0</v>
      </c>
      <c r="AE170" s="110">
        <f t="shared" ca="1" si="65"/>
        <v>0</v>
      </c>
      <c r="AF170" s="110">
        <f t="shared" ca="1" si="65"/>
        <v>0</v>
      </c>
      <c r="AG170" s="110">
        <f t="shared" ca="1" si="65"/>
        <v>0</v>
      </c>
      <c r="AH170" s="110">
        <f t="shared" ca="1" si="65"/>
        <v>0</v>
      </c>
      <c r="AI170" s="110">
        <f t="shared" ca="1" si="65"/>
        <v>0</v>
      </c>
      <c r="AJ170" s="110">
        <f t="shared" ca="1" si="65"/>
        <v>0</v>
      </c>
      <c r="AK170" s="110">
        <f t="shared" ca="1" si="66"/>
        <v>0</v>
      </c>
      <c r="AL170" s="110">
        <f t="shared" ca="1" si="63"/>
        <v>0</v>
      </c>
      <c r="AM170" s="110">
        <f t="shared" ca="1" si="63"/>
        <v>0</v>
      </c>
      <c r="AN170" s="110">
        <f t="shared" ca="1" si="63"/>
        <v>0</v>
      </c>
      <c r="AO170" s="110">
        <f t="shared" ca="1" si="63"/>
        <v>0</v>
      </c>
    </row>
    <row r="171" spans="2:41">
      <c r="D171" s="128">
        <f t="shared" ca="1" si="64"/>
        <v>-1.9456621004566212</v>
      </c>
      <c r="E171" s="110">
        <f t="shared" ca="1" si="68"/>
        <v>0</v>
      </c>
      <c r="F171" s="110">
        <f t="shared" ca="1" si="68"/>
        <v>0</v>
      </c>
      <c r="G171" s="110">
        <f t="shared" ca="1" si="68"/>
        <v>0</v>
      </c>
      <c r="H171" s="110">
        <f t="shared" ca="1" si="68"/>
        <v>0</v>
      </c>
      <c r="I171" s="110">
        <f t="shared" ca="1" si="68"/>
        <v>0</v>
      </c>
      <c r="J171" s="110">
        <f t="shared" ca="1" si="68"/>
        <v>0</v>
      </c>
      <c r="K171" s="110">
        <f t="shared" ca="1" si="68"/>
        <v>0</v>
      </c>
      <c r="L171" s="110">
        <f t="shared" ca="1" si="68"/>
        <v>0</v>
      </c>
      <c r="M171" s="110">
        <f t="shared" ca="1" si="68"/>
        <v>0</v>
      </c>
      <c r="N171" s="110">
        <f t="shared" ca="1" si="68"/>
        <v>0</v>
      </c>
      <c r="O171" s="110">
        <f t="shared" ca="1" si="68"/>
        <v>0</v>
      </c>
      <c r="P171" s="110">
        <f t="shared" ca="1" si="68"/>
        <v>0</v>
      </c>
      <c r="Q171" s="110">
        <f t="shared" ca="1" si="68"/>
        <v>0</v>
      </c>
      <c r="R171" s="110">
        <f t="shared" ca="1" si="68"/>
        <v>0</v>
      </c>
      <c r="S171" s="110">
        <f t="shared" ca="1" si="68"/>
        <v>0</v>
      </c>
      <c r="T171" s="110">
        <f t="shared" ca="1" si="68"/>
        <v>0</v>
      </c>
      <c r="U171" s="110">
        <f t="shared" ca="1" si="65"/>
        <v>0</v>
      </c>
      <c r="V171" s="110">
        <f t="shared" ca="1" si="65"/>
        <v>0</v>
      </c>
      <c r="W171" s="110">
        <f t="shared" ca="1" si="65"/>
        <v>0</v>
      </c>
      <c r="X171" s="110">
        <f t="shared" ca="1" si="65"/>
        <v>0</v>
      </c>
      <c r="Y171" s="110">
        <f t="shared" ca="1" si="65"/>
        <v>0</v>
      </c>
      <c r="Z171" s="110">
        <f t="shared" ca="1" si="65"/>
        <v>0</v>
      </c>
      <c r="AA171" s="110">
        <f t="shared" ca="1" si="65"/>
        <v>0</v>
      </c>
      <c r="AB171" s="110">
        <f t="shared" ca="1" si="65"/>
        <v>0</v>
      </c>
      <c r="AC171" s="110">
        <f t="shared" ca="1" si="65"/>
        <v>0</v>
      </c>
      <c r="AD171" s="110">
        <f t="shared" ca="1" si="65"/>
        <v>0</v>
      </c>
      <c r="AE171" s="110">
        <f t="shared" ca="1" si="65"/>
        <v>0</v>
      </c>
      <c r="AF171" s="110">
        <f t="shared" ca="1" si="65"/>
        <v>0</v>
      </c>
      <c r="AG171" s="110">
        <f t="shared" ca="1" si="65"/>
        <v>0</v>
      </c>
      <c r="AH171" s="110">
        <f t="shared" ca="1" si="65"/>
        <v>0</v>
      </c>
      <c r="AI171" s="110">
        <f t="shared" ca="1" si="65"/>
        <v>0</v>
      </c>
      <c r="AJ171" s="110">
        <f t="shared" ca="1" si="65"/>
        <v>0</v>
      </c>
      <c r="AK171" s="110">
        <f t="shared" ca="1" si="66"/>
        <v>0</v>
      </c>
      <c r="AL171" s="110">
        <f t="shared" ca="1" si="63"/>
        <v>0</v>
      </c>
      <c r="AM171" s="110">
        <f t="shared" ca="1" si="63"/>
        <v>0</v>
      </c>
      <c r="AN171" s="110">
        <f t="shared" ca="1" si="63"/>
        <v>0</v>
      </c>
      <c r="AO171" s="110">
        <f t="shared" ca="1" si="63"/>
        <v>0</v>
      </c>
    </row>
    <row r="172" spans="2:41">
      <c r="D172" s="128">
        <f t="shared" ca="1" si="64"/>
        <v>-1.9461187214611875</v>
      </c>
      <c r="E172" s="110">
        <f t="shared" ca="1" si="68"/>
        <v>0</v>
      </c>
      <c r="F172" s="110">
        <f t="shared" ca="1" si="68"/>
        <v>0</v>
      </c>
      <c r="G172" s="110">
        <f t="shared" ca="1" si="68"/>
        <v>0</v>
      </c>
      <c r="H172" s="110">
        <f t="shared" ca="1" si="68"/>
        <v>0</v>
      </c>
      <c r="I172" s="110">
        <f t="shared" ca="1" si="68"/>
        <v>0</v>
      </c>
      <c r="J172" s="110">
        <f t="shared" ca="1" si="68"/>
        <v>0</v>
      </c>
      <c r="K172" s="110">
        <f t="shared" ca="1" si="68"/>
        <v>0</v>
      </c>
      <c r="L172" s="110">
        <f t="shared" ca="1" si="68"/>
        <v>0</v>
      </c>
      <c r="M172" s="110">
        <f t="shared" ca="1" si="68"/>
        <v>0</v>
      </c>
      <c r="N172" s="110">
        <f t="shared" ca="1" si="68"/>
        <v>0</v>
      </c>
      <c r="O172" s="110">
        <f t="shared" ca="1" si="68"/>
        <v>0</v>
      </c>
      <c r="P172" s="110">
        <f t="shared" ca="1" si="68"/>
        <v>0</v>
      </c>
      <c r="Q172" s="110">
        <f t="shared" ca="1" si="68"/>
        <v>0</v>
      </c>
      <c r="R172" s="110">
        <f t="shared" ca="1" si="68"/>
        <v>0</v>
      </c>
      <c r="S172" s="110">
        <f t="shared" ca="1" si="68"/>
        <v>0</v>
      </c>
      <c r="T172" s="110">
        <f t="shared" ca="1" si="68"/>
        <v>0</v>
      </c>
      <c r="U172" s="110">
        <f t="shared" ca="1" si="65"/>
        <v>0</v>
      </c>
      <c r="V172" s="110">
        <f t="shared" ca="1" si="65"/>
        <v>0</v>
      </c>
      <c r="W172" s="110">
        <f t="shared" ca="1" si="65"/>
        <v>0</v>
      </c>
      <c r="X172" s="110">
        <f t="shared" ca="1" si="65"/>
        <v>0</v>
      </c>
      <c r="Y172" s="110">
        <f t="shared" ca="1" si="65"/>
        <v>0</v>
      </c>
      <c r="Z172" s="110">
        <f t="shared" ca="1" si="65"/>
        <v>0</v>
      </c>
      <c r="AA172" s="110">
        <f t="shared" ca="1" si="65"/>
        <v>0</v>
      </c>
      <c r="AB172" s="110">
        <f t="shared" ca="1" si="65"/>
        <v>0</v>
      </c>
      <c r="AC172" s="110">
        <f t="shared" ca="1" si="65"/>
        <v>0</v>
      </c>
      <c r="AD172" s="110">
        <f t="shared" ca="1" si="65"/>
        <v>0</v>
      </c>
      <c r="AE172" s="110">
        <f t="shared" ca="1" si="65"/>
        <v>0</v>
      </c>
      <c r="AF172" s="110">
        <f t="shared" ca="1" si="65"/>
        <v>0</v>
      </c>
      <c r="AG172" s="110">
        <f t="shared" ca="1" si="65"/>
        <v>0</v>
      </c>
      <c r="AH172" s="110">
        <f t="shared" ca="1" si="65"/>
        <v>0</v>
      </c>
      <c r="AI172" s="110">
        <f t="shared" ca="1" si="65"/>
        <v>0</v>
      </c>
      <c r="AJ172" s="110">
        <f t="shared" ca="1" si="65"/>
        <v>0</v>
      </c>
      <c r="AK172" s="110">
        <f t="shared" ca="1" si="66"/>
        <v>0</v>
      </c>
      <c r="AL172" s="110">
        <f t="shared" ca="1" si="63"/>
        <v>0</v>
      </c>
      <c r="AM172" s="110">
        <f t="shared" ca="1" si="63"/>
        <v>0</v>
      </c>
      <c r="AN172" s="110">
        <f t="shared" ca="1" si="63"/>
        <v>0</v>
      </c>
      <c r="AO172" s="110">
        <f t="shared" ca="1" si="63"/>
        <v>0</v>
      </c>
    </row>
    <row r="173" spans="2:41">
      <c r="D173" s="128">
        <f t="shared" ca="1" si="64"/>
        <v>-1.9465753424657537</v>
      </c>
      <c r="E173" s="110">
        <f t="shared" ca="1" si="68"/>
        <v>0</v>
      </c>
      <c r="F173" s="110">
        <f t="shared" ca="1" si="68"/>
        <v>0</v>
      </c>
      <c r="G173" s="110">
        <f t="shared" ca="1" si="68"/>
        <v>0</v>
      </c>
      <c r="H173" s="110">
        <f t="shared" ca="1" si="68"/>
        <v>0</v>
      </c>
      <c r="I173" s="110">
        <f t="shared" ca="1" si="68"/>
        <v>0</v>
      </c>
      <c r="J173" s="110">
        <f t="shared" ca="1" si="68"/>
        <v>0</v>
      </c>
      <c r="K173" s="110">
        <f t="shared" ca="1" si="68"/>
        <v>0</v>
      </c>
      <c r="L173" s="110">
        <f t="shared" ca="1" si="68"/>
        <v>0</v>
      </c>
      <c r="M173" s="110">
        <f t="shared" ca="1" si="68"/>
        <v>0</v>
      </c>
      <c r="N173" s="110">
        <f t="shared" ca="1" si="68"/>
        <v>0</v>
      </c>
      <c r="O173" s="110">
        <f t="shared" ca="1" si="68"/>
        <v>0</v>
      </c>
      <c r="P173" s="110">
        <f t="shared" ca="1" si="68"/>
        <v>0</v>
      </c>
      <c r="Q173" s="110">
        <f t="shared" ca="1" si="68"/>
        <v>0</v>
      </c>
      <c r="R173" s="110">
        <f t="shared" ca="1" si="68"/>
        <v>0</v>
      </c>
      <c r="S173" s="110">
        <f t="shared" ca="1" si="68"/>
        <v>0</v>
      </c>
      <c r="T173" s="110">
        <f t="shared" ca="1" si="68"/>
        <v>0</v>
      </c>
      <c r="U173" s="110">
        <f t="shared" ca="1" si="65"/>
        <v>0</v>
      </c>
      <c r="V173" s="110">
        <f t="shared" ca="1" si="65"/>
        <v>0</v>
      </c>
      <c r="W173" s="110">
        <f t="shared" ca="1" si="65"/>
        <v>0</v>
      </c>
      <c r="X173" s="110">
        <f t="shared" ca="1" si="65"/>
        <v>0</v>
      </c>
      <c r="Y173" s="110">
        <f t="shared" ca="1" si="65"/>
        <v>0</v>
      </c>
      <c r="Z173" s="110">
        <f t="shared" ca="1" si="65"/>
        <v>0</v>
      </c>
      <c r="AA173" s="110">
        <f t="shared" ca="1" si="65"/>
        <v>0</v>
      </c>
      <c r="AB173" s="110">
        <f t="shared" ca="1" si="65"/>
        <v>0</v>
      </c>
      <c r="AC173" s="110">
        <f t="shared" ca="1" si="65"/>
        <v>0</v>
      </c>
      <c r="AD173" s="110">
        <f t="shared" ca="1" si="65"/>
        <v>0</v>
      </c>
      <c r="AE173" s="110">
        <f t="shared" ca="1" si="65"/>
        <v>0</v>
      </c>
      <c r="AF173" s="110">
        <f t="shared" ca="1" si="65"/>
        <v>0</v>
      </c>
      <c r="AG173" s="110">
        <f t="shared" ca="1" si="65"/>
        <v>0</v>
      </c>
      <c r="AH173" s="110">
        <f t="shared" ca="1" si="65"/>
        <v>0</v>
      </c>
      <c r="AI173" s="110">
        <f t="shared" ca="1" si="65"/>
        <v>0</v>
      </c>
      <c r="AJ173" s="110">
        <f t="shared" ca="1" si="65"/>
        <v>0</v>
      </c>
      <c r="AK173" s="110">
        <f t="shared" ca="1" si="66"/>
        <v>0</v>
      </c>
      <c r="AL173" s="110">
        <f t="shared" ca="1" si="63"/>
        <v>0</v>
      </c>
      <c r="AM173" s="110">
        <f t="shared" ca="1" si="63"/>
        <v>0</v>
      </c>
      <c r="AN173" s="110">
        <f t="shared" ca="1" si="63"/>
        <v>0</v>
      </c>
      <c r="AO173" s="110">
        <f t="shared" ca="1" si="63"/>
        <v>0</v>
      </c>
    </row>
    <row r="174" spans="2:41">
      <c r="D174" s="128">
        <f t="shared" ca="1" si="64"/>
        <v>-1.9470319634703199</v>
      </c>
      <c r="E174" s="110">
        <f t="shared" ca="1" si="68"/>
        <v>0</v>
      </c>
      <c r="F174" s="110">
        <f t="shared" ca="1" si="68"/>
        <v>0</v>
      </c>
      <c r="G174" s="110">
        <f t="shared" ca="1" si="68"/>
        <v>0</v>
      </c>
      <c r="H174" s="110">
        <f t="shared" ca="1" si="68"/>
        <v>0</v>
      </c>
      <c r="I174" s="110">
        <f t="shared" ca="1" si="68"/>
        <v>0</v>
      </c>
      <c r="J174" s="110">
        <f t="shared" ca="1" si="68"/>
        <v>0</v>
      </c>
      <c r="K174" s="110">
        <f t="shared" ca="1" si="68"/>
        <v>0</v>
      </c>
      <c r="L174" s="110">
        <f t="shared" ca="1" si="68"/>
        <v>0</v>
      </c>
      <c r="M174" s="110">
        <f t="shared" ca="1" si="68"/>
        <v>0</v>
      </c>
      <c r="N174" s="110">
        <f t="shared" ca="1" si="68"/>
        <v>0</v>
      </c>
      <c r="O174" s="110">
        <f t="shared" ca="1" si="68"/>
        <v>0</v>
      </c>
      <c r="P174" s="110">
        <f t="shared" ca="1" si="68"/>
        <v>0</v>
      </c>
      <c r="Q174" s="110">
        <f t="shared" ca="1" si="68"/>
        <v>0</v>
      </c>
      <c r="R174" s="110">
        <f t="shared" ca="1" si="68"/>
        <v>0</v>
      </c>
      <c r="S174" s="110">
        <f t="shared" ca="1" si="68"/>
        <v>0</v>
      </c>
      <c r="T174" s="110">
        <f t="shared" ca="1" si="68"/>
        <v>0</v>
      </c>
      <c r="U174" s="110">
        <f t="shared" ca="1" si="65"/>
        <v>0</v>
      </c>
      <c r="V174" s="110">
        <f t="shared" ca="1" si="65"/>
        <v>0</v>
      </c>
      <c r="W174" s="110">
        <f t="shared" ca="1" si="65"/>
        <v>0</v>
      </c>
      <c r="X174" s="110">
        <f t="shared" ca="1" si="65"/>
        <v>0</v>
      </c>
      <c r="Y174" s="110">
        <f t="shared" ca="1" si="65"/>
        <v>0</v>
      </c>
      <c r="Z174" s="110">
        <f t="shared" ca="1" si="65"/>
        <v>0</v>
      </c>
      <c r="AA174" s="110">
        <f t="shared" ca="1" si="65"/>
        <v>0</v>
      </c>
      <c r="AB174" s="110">
        <f t="shared" ca="1" si="65"/>
        <v>0</v>
      </c>
      <c r="AC174" s="110">
        <f t="shared" ca="1" si="65"/>
        <v>0</v>
      </c>
      <c r="AD174" s="110">
        <f t="shared" ca="1" si="65"/>
        <v>0</v>
      </c>
      <c r="AE174" s="110">
        <f t="shared" ca="1" si="65"/>
        <v>0</v>
      </c>
      <c r="AF174" s="110">
        <f t="shared" ca="1" si="65"/>
        <v>0</v>
      </c>
      <c r="AG174" s="110">
        <f t="shared" ca="1" si="65"/>
        <v>0</v>
      </c>
      <c r="AH174" s="110">
        <f t="shared" ca="1" si="65"/>
        <v>0</v>
      </c>
      <c r="AI174" s="110">
        <f t="shared" ca="1" si="65"/>
        <v>0</v>
      </c>
      <c r="AJ174" s="110">
        <f t="shared" ca="1" si="65"/>
        <v>0</v>
      </c>
      <c r="AK174" s="110">
        <f t="shared" ca="1" si="66"/>
        <v>0</v>
      </c>
      <c r="AL174" s="110">
        <f t="shared" ca="1" si="63"/>
        <v>0</v>
      </c>
      <c r="AM174" s="110">
        <f t="shared" ca="1" si="63"/>
        <v>0</v>
      </c>
      <c r="AN174" s="110">
        <f t="shared" ca="1" si="63"/>
        <v>0</v>
      </c>
      <c r="AO174" s="110">
        <f t="shared" ca="1" si="63"/>
        <v>0</v>
      </c>
    </row>
    <row r="175" spans="2:41">
      <c r="D175" s="128">
        <f t="shared" ca="1" si="64"/>
        <v>-1.9474885844748862</v>
      </c>
      <c r="E175" s="110">
        <f t="shared" ca="1" si="68"/>
        <v>0</v>
      </c>
      <c r="F175" s="110">
        <f t="shared" ca="1" si="68"/>
        <v>0</v>
      </c>
      <c r="G175" s="110">
        <f t="shared" ca="1" si="68"/>
        <v>0</v>
      </c>
      <c r="H175" s="110">
        <f t="shared" ca="1" si="68"/>
        <v>0</v>
      </c>
      <c r="I175" s="110">
        <f t="shared" ca="1" si="68"/>
        <v>0</v>
      </c>
      <c r="J175" s="110">
        <f t="shared" ca="1" si="68"/>
        <v>0</v>
      </c>
      <c r="K175" s="110">
        <f t="shared" ca="1" si="68"/>
        <v>0</v>
      </c>
      <c r="L175" s="110">
        <f t="shared" ca="1" si="68"/>
        <v>0</v>
      </c>
      <c r="M175" s="110">
        <f t="shared" ca="1" si="68"/>
        <v>0</v>
      </c>
      <c r="N175" s="110">
        <f t="shared" ca="1" si="68"/>
        <v>0</v>
      </c>
      <c r="O175" s="110">
        <f t="shared" ca="1" si="68"/>
        <v>0</v>
      </c>
      <c r="P175" s="110">
        <f t="shared" ca="1" si="68"/>
        <v>0</v>
      </c>
      <c r="Q175" s="110">
        <f t="shared" ca="1" si="68"/>
        <v>0</v>
      </c>
      <c r="R175" s="110">
        <f t="shared" ca="1" si="68"/>
        <v>0</v>
      </c>
      <c r="S175" s="110">
        <f t="shared" ca="1" si="68"/>
        <v>0</v>
      </c>
      <c r="T175" s="110">
        <f t="shared" ca="1" si="68"/>
        <v>0</v>
      </c>
      <c r="U175" s="110">
        <f t="shared" ca="1" si="65"/>
        <v>0</v>
      </c>
      <c r="V175" s="110">
        <f t="shared" ca="1" si="65"/>
        <v>0</v>
      </c>
      <c r="W175" s="110">
        <f t="shared" ca="1" si="65"/>
        <v>0</v>
      </c>
      <c r="X175" s="110">
        <f t="shared" ca="1" si="65"/>
        <v>0</v>
      </c>
      <c r="Y175" s="110">
        <f t="shared" ca="1" si="65"/>
        <v>0</v>
      </c>
      <c r="Z175" s="110">
        <f t="shared" ca="1" si="65"/>
        <v>0</v>
      </c>
      <c r="AA175" s="110">
        <f t="shared" ca="1" si="65"/>
        <v>0</v>
      </c>
      <c r="AB175" s="110">
        <f t="shared" ca="1" si="65"/>
        <v>0</v>
      </c>
      <c r="AC175" s="110">
        <f t="shared" ca="1" si="65"/>
        <v>0</v>
      </c>
      <c r="AD175" s="110">
        <f t="shared" ca="1" si="65"/>
        <v>0</v>
      </c>
      <c r="AE175" s="110">
        <f t="shared" ca="1" si="65"/>
        <v>0</v>
      </c>
      <c r="AF175" s="110">
        <f t="shared" ca="1" si="65"/>
        <v>0</v>
      </c>
      <c r="AG175" s="110">
        <f t="shared" ca="1" si="65"/>
        <v>0</v>
      </c>
      <c r="AH175" s="110">
        <f t="shared" ca="1" si="65"/>
        <v>0</v>
      </c>
      <c r="AI175" s="110">
        <f t="shared" ca="1" si="65"/>
        <v>0</v>
      </c>
      <c r="AJ175" s="110">
        <f t="shared" ca="1" si="65"/>
        <v>0</v>
      </c>
      <c r="AK175" s="110">
        <f t="shared" ca="1" si="66"/>
        <v>0</v>
      </c>
      <c r="AL175" s="110">
        <f t="shared" ca="1" si="63"/>
        <v>0</v>
      </c>
      <c r="AM175" s="110">
        <f t="shared" ca="1" si="63"/>
        <v>0</v>
      </c>
      <c r="AN175" s="110">
        <f t="shared" ca="1" si="63"/>
        <v>0</v>
      </c>
      <c r="AO175" s="110">
        <f t="shared" ca="1" si="63"/>
        <v>0</v>
      </c>
    </row>
    <row r="176" spans="2:41">
      <c r="D176" s="128">
        <f t="shared" ca="1" si="64"/>
        <v>-1.9479452054794524</v>
      </c>
      <c r="E176" s="110">
        <f t="shared" ca="1" si="68"/>
        <v>0</v>
      </c>
      <c r="F176" s="110">
        <f t="shared" ca="1" si="68"/>
        <v>0</v>
      </c>
      <c r="G176" s="110">
        <f t="shared" ca="1" si="68"/>
        <v>0</v>
      </c>
      <c r="H176" s="110">
        <f t="shared" ca="1" si="68"/>
        <v>0</v>
      </c>
      <c r="I176" s="110">
        <f t="shared" ca="1" si="68"/>
        <v>0</v>
      </c>
      <c r="J176" s="110">
        <f t="shared" ca="1" si="68"/>
        <v>0</v>
      </c>
      <c r="K176" s="110">
        <f t="shared" ca="1" si="68"/>
        <v>0</v>
      </c>
      <c r="L176" s="110">
        <f t="shared" ca="1" si="68"/>
        <v>0</v>
      </c>
      <c r="M176" s="110">
        <f t="shared" ca="1" si="68"/>
        <v>0</v>
      </c>
      <c r="N176" s="110">
        <f t="shared" ca="1" si="68"/>
        <v>0</v>
      </c>
      <c r="O176" s="110">
        <f t="shared" ca="1" si="68"/>
        <v>0</v>
      </c>
      <c r="P176" s="110">
        <f t="shared" ca="1" si="68"/>
        <v>0</v>
      </c>
      <c r="Q176" s="110">
        <f t="shared" ca="1" si="68"/>
        <v>0</v>
      </c>
      <c r="R176" s="110">
        <f t="shared" ca="1" si="68"/>
        <v>0</v>
      </c>
      <c r="S176" s="110">
        <f t="shared" ca="1" si="68"/>
        <v>0</v>
      </c>
      <c r="T176" s="110">
        <f t="shared" ca="1" si="68"/>
        <v>0</v>
      </c>
      <c r="U176" s="110">
        <f t="shared" ca="1" si="65"/>
        <v>0</v>
      </c>
      <c r="V176" s="110">
        <f t="shared" ca="1" si="65"/>
        <v>0</v>
      </c>
      <c r="W176" s="110">
        <f t="shared" ca="1" si="65"/>
        <v>0</v>
      </c>
      <c r="X176" s="110">
        <f t="shared" ca="1" si="65"/>
        <v>0</v>
      </c>
      <c r="Y176" s="110">
        <f t="shared" ca="1" si="65"/>
        <v>0</v>
      </c>
      <c r="Z176" s="110">
        <f t="shared" ca="1" si="65"/>
        <v>0</v>
      </c>
      <c r="AA176" s="110">
        <f t="shared" ca="1" si="65"/>
        <v>0</v>
      </c>
      <c r="AB176" s="110">
        <f t="shared" ca="1" si="65"/>
        <v>0</v>
      </c>
      <c r="AC176" s="110">
        <f t="shared" ca="1" si="65"/>
        <v>0</v>
      </c>
      <c r="AD176" s="110">
        <f t="shared" ca="1" si="65"/>
        <v>0</v>
      </c>
      <c r="AE176" s="110">
        <f t="shared" ca="1" si="65"/>
        <v>0</v>
      </c>
      <c r="AF176" s="110">
        <f t="shared" ca="1" si="65"/>
        <v>0</v>
      </c>
      <c r="AG176" s="110">
        <f t="shared" ca="1" si="65"/>
        <v>0</v>
      </c>
      <c r="AH176" s="110">
        <f t="shared" ca="1" si="65"/>
        <v>0</v>
      </c>
      <c r="AI176" s="110">
        <f t="shared" ca="1" si="65"/>
        <v>0</v>
      </c>
      <c r="AJ176" s="110">
        <f t="shared" ca="1" si="65"/>
        <v>0</v>
      </c>
      <c r="AK176" s="110">
        <f t="shared" ca="1" si="66"/>
        <v>0</v>
      </c>
      <c r="AL176" s="110">
        <f t="shared" ca="1" si="63"/>
        <v>0</v>
      </c>
      <c r="AM176" s="110">
        <f t="shared" ca="1" si="63"/>
        <v>0</v>
      </c>
      <c r="AN176" s="110">
        <f t="shared" ca="1" si="63"/>
        <v>0</v>
      </c>
      <c r="AO176" s="110">
        <f t="shared" ca="1" si="63"/>
        <v>0</v>
      </c>
    </row>
    <row r="177" spans="4:41">
      <c r="D177" s="128">
        <f t="shared" ca="1" si="64"/>
        <v>-1.9484018264840186</v>
      </c>
      <c r="E177" s="110">
        <f t="shared" ca="1" si="68"/>
        <v>0</v>
      </c>
      <c r="F177" s="110">
        <f t="shared" ca="1" si="68"/>
        <v>0</v>
      </c>
      <c r="G177" s="110">
        <f t="shared" ca="1" si="68"/>
        <v>0</v>
      </c>
      <c r="H177" s="110">
        <f t="shared" ca="1" si="68"/>
        <v>0</v>
      </c>
      <c r="I177" s="110">
        <f t="shared" ca="1" si="68"/>
        <v>0</v>
      </c>
      <c r="J177" s="110">
        <f t="shared" ca="1" si="68"/>
        <v>0</v>
      </c>
      <c r="K177" s="110">
        <f t="shared" ca="1" si="68"/>
        <v>0</v>
      </c>
      <c r="L177" s="110">
        <f t="shared" ca="1" si="68"/>
        <v>0</v>
      </c>
      <c r="M177" s="110">
        <f t="shared" ca="1" si="68"/>
        <v>0</v>
      </c>
      <c r="N177" s="110">
        <f t="shared" ca="1" si="68"/>
        <v>0</v>
      </c>
      <c r="O177" s="110">
        <f t="shared" ca="1" si="68"/>
        <v>0</v>
      </c>
      <c r="P177" s="110">
        <f t="shared" ca="1" si="68"/>
        <v>0</v>
      </c>
      <c r="Q177" s="110">
        <f t="shared" ca="1" si="68"/>
        <v>0</v>
      </c>
      <c r="R177" s="110">
        <f t="shared" ca="1" si="68"/>
        <v>0</v>
      </c>
      <c r="S177" s="110">
        <f t="shared" ca="1" si="68"/>
        <v>0</v>
      </c>
      <c r="T177" s="110">
        <f t="shared" ca="1" si="68"/>
        <v>0</v>
      </c>
      <c r="U177" s="110">
        <f t="shared" ca="1" si="65"/>
        <v>0</v>
      </c>
      <c r="V177" s="110">
        <f t="shared" ca="1" si="65"/>
        <v>0</v>
      </c>
      <c r="W177" s="110">
        <f t="shared" ca="1" si="65"/>
        <v>0</v>
      </c>
      <c r="X177" s="110">
        <f t="shared" ca="1" si="65"/>
        <v>0</v>
      </c>
      <c r="Y177" s="110">
        <f t="shared" ca="1" si="65"/>
        <v>0</v>
      </c>
      <c r="Z177" s="110">
        <f t="shared" ca="1" si="65"/>
        <v>0</v>
      </c>
      <c r="AA177" s="110">
        <f t="shared" ca="1" si="65"/>
        <v>0</v>
      </c>
      <c r="AB177" s="110">
        <f t="shared" ca="1" si="65"/>
        <v>0</v>
      </c>
      <c r="AC177" s="110">
        <f t="shared" ca="1" si="65"/>
        <v>0</v>
      </c>
      <c r="AD177" s="110">
        <f t="shared" ca="1" si="65"/>
        <v>0</v>
      </c>
      <c r="AE177" s="110">
        <f t="shared" ca="1" si="65"/>
        <v>0</v>
      </c>
      <c r="AF177" s="110">
        <f t="shared" ca="1" si="65"/>
        <v>0</v>
      </c>
      <c r="AG177" s="110">
        <f t="shared" ca="1" si="65"/>
        <v>0</v>
      </c>
      <c r="AH177" s="110">
        <f t="shared" ca="1" si="65"/>
        <v>0</v>
      </c>
      <c r="AI177" s="110">
        <f t="shared" ca="1" si="65"/>
        <v>0</v>
      </c>
      <c r="AJ177" s="110">
        <f t="shared" ca="1" si="65"/>
        <v>0</v>
      </c>
      <c r="AK177" s="110">
        <f t="shared" ca="1" si="66"/>
        <v>0</v>
      </c>
      <c r="AL177" s="110">
        <f t="shared" ca="1" si="63"/>
        <v>0</v>
      </c>
      <c r="AM177" s="110">
        <f t="shared" ca="1" si="63"/>
        <v>0</v>
      </c>
      <c r="AN177" s="110">
        <f t="shared" ca="1" si="63"/>
        <v>0</v>
      </c>
      <c r="AO177" s="110">
        <f t="shared" ca="1" si="63"/>
        <v>0</v>
      </c>
    </row>
    <row r="178" spans="4:41">
      <c r="D178" s="128">
        <f t="shared" ca="1" si="64"/>
        <v>-1.9488584474885848</v>
      </c>
      <c r="E178" s="110">
        <f t="shared" ca="1" si="68"/>
        <v>0</v>
      </c>
      <c r="F178" s="110">
        <f t="shared" ca="1" si="68"/>
        <v>0</v>
      </c>
      <c r="G178" s="110">
        <f t="shared" ca="1" si="68"/>
        <v>0</v>
      </c>
      <c r="H178" s="110">
        <f t="shared" ca="1" si="68"/>
        <v>0</v>
      </c>
      <c r="I178" s="110">
        <f t="shared" ca="1" si="68"/>
        <v>0</v>
      </c>
      <c r="J178" s="110">
        <f t="shared" ca="1" si="68"/>
        <v>0</v>
      </c>
      <c r="K178" s="110">
        <f t="shared" ca="1" si="68"/>
        <v>0</v>
      </c>
      <c r="L178" s="110">
        <f t="shared" ca="1" si="68"/>
        <v>0</v>
      </c>
      <c r="M178" s="110">
        <f t="shared" ca="1" si="68"/>
        <v>0</v>
      </c>
      <c r="N178" s="110">
        <f t="shared" ca="1" si="68"/>
        <v>0</v>
      </c>
      <c r="O178" s="110">
        <f t="shared" ca="1" si="68"/>
        <v>0</v>
      </c>
      <c r="P178" s="110">
        <f t="shared" ca="1" si="68"/>
        <v>0</v>
      </c>
      <c r="Q178" s="110">
        <f t="shared" ca="1" si="68"/>
        <v>0</v>
      </c>
      <c r="R178" s="110">
        <f t="shared" ca="1" si="68"/>
        <v>0</v>
      </c>
      <c r="S178" s="110">
        <f t="shared" ca="1" si="68"/>
        <v>0</v>
      </c>
      <c r="T178" s="110">
        <f t="shared" ca="1" si="68"/>
        <v>0</v>
      </c>
      <c r="U178" s="110">
        <f t="shared" ca="1" si="65"/>
        <v>0</v>
      </c>
      <c r="V178" s="110">
        <f t="shared" ca="1" si="65"/>
        <v>0</v>
      </c>
      <c r="W178" s="110">
        <f t="shared" ca="1" si="65"/>
        <v>0</v>
      </c>
      <c r="X178" s="110">
        <f t="shared" ca="1" si="65"/>
        <v>0</v>
      </c>
      <c r="Y178" s="110">
        <f t="shared" ca="1" si="65"/>
        <v>0</v>
      </c>
      <c r="Z178" s="110">
        <f t="shared" ca="1" si="65"/>
        <v>0</v>
      </c>
      <c r="AA178" s="110">
        <f t="shared" ca="1" si="65"/>
        <v>0</v>
      </c>
      <c r="AB178" s="110">
        <f t="shared" ca="1" si="65"/>
        <v>0</v>
      </c>
      <c r="AC178" s="110">
        <f t="shared" ca="1" si="65"/>
        <v>0</v>
      </c>
      <c r="AD178" s="110">
        <f t="shared" ca="1" si="65"/>
        <v>0</v>
      </c>
      <c r="AE178" s="110">
        <f t="shared" ca="1" si="65"/>
        <v>0</v>
      </c>
      <c r="AF178" s="110">
        <f t="shared" ca="1" si="65"/>
        <v>0</v>
      </c>
      <c r="AG178" s="110">
        <f t="shared" ca="1" si="65"/>
        <v>0</v>
      </c>
      <c r="AH178" s="110">
        <f t="shared" ca="1" si="65"/>
        <v>0</v>
      </c>
      <c r="AI178" s="110">
        <f t="shared" ca="1" si="65"/>
        <v>0</v>
      </c>
      <c r="AJ178" s="110">
        <f t="shared" ca="1" si="65"/>
        <v>0</v>
      </c>
      <c r="AK178" s="110">
        <f t="shared" ca="1" si="66"/>
        <v>0</v>
      </c>
      <c r="AL178" s="110">
        <f t="shared" ca="1" si="63"/>
        <v>0</v>
      </c>
      <c r="AM178" s="110">
        <f t="shared" ca="1" si="63"/>
        <v>0</v>
      </c>
      <c r="AN178" s="110">
        <f t="shared" ca="1" si="63"/>
        <v>0</v>
      </c>
      <c r="AO178" s="110">
        <f t="shared" ca="1" si="63"/>
        <v>0</v>
      </c>
    </row>
    <row r="179" spans="4:41">
      <c r="D179" s="128">
        <f t="shared" ca="1" si="64"/>
        <v>-1.9493150684931511</v>
      </c>
      <c r="E179" s="110">
        <f t="shared" ca="1" si="68"/>
        <v>0</v>
      </c>
      <c r="F179" s="110">
        <f t="shared" ca="1" si="68"/>
        <v>0</v>
      </c>
      <c r="G179" s="110">
        <f t="shared" ca="1" si="68"/>
        <v>0</v>
      </c>
      <c r="H179" s="110">
        <f t="shared" ca="1" si="68"/>
        <v>0</v>
      </c>
      <c r="I179" s="110">
        <f t="shared" ca="1" si="68"/>
        <v>0</v>
      </c>
      <c r="J179" s="110">
        <f t="shared" ca="1" si="68"/>
        <v>0</v>
      </c>
      <c r="K179" s="110">
        <f t="shared" ca="1" si="68"/>
        <v>0</v>
      </c>
      <c r="L179" s="110">
        <f t="shared" ca="1" si="68"/>
        <v>0</v>
      </c>
      <c r="M179" s="110">
        <f t="shared" ca="1" si="68"/>
        <v>0</v>
      </c>
      <c r="N179" s="110">
        <f t="shared" ca="1" si="68"/>
        <v>0</v>
      </c>
      <c r="O179" s="110">
        <f t="shared" ca="1" si="68"/>
        <v>0</v>
      </c>
      <c r="P179" s="110">
        <f t="shared" ca="1" si="68"/>
        <v>0</v>
      </c>
      <c r="Q179" s="110">
        <f t="shared" ca="1" si="68"/>
        <v>0</v>
      </c>
      <c r="R179" s="110">
        <f t="shared" ca="1" si="68"/>
        <v>0</v>
      </c>
      <c r="S179" s="110">
        <f t="shared" ca="1" si="68"/>
        <v>0</v>
      </c>
      <c r="T179" s="110">
        <f t="shared" ca="1" si="68"/>
        <v>0</v>
      </c>
      <c r="U179" s="110">
        <f t="shared" ca="1" si="65"/>
        <v>0</v>
      </c>
      <c r="V179" s="110">
        <f t="shared" ca="1" si="65"/>
        <v>0</v>
      </c>
      <c r="W179" s="110">
        <f t="shared" ca="1" si="65"/>
        <v>0</v>
      </c>
      <c r="X179" s="110">
        <f t="shared" ca="1" si="65"/>
        <v>0</v>
      </c>
      <c r="Y179" s="110">
        <f t="shared" ca="1" si="65"/>
        <v>0</v>
      </c>
      <c r="Z179" s="110">
        <f t="shared" ca="1" si="65"/>
        <v>0</v>
      </c>
      <c r="AA179" s="110">
        <f t="shared" ca="1" si="65"/>
        <v>0</v>
      </c>
      <c r="AB179" s="110">
        <f t="shared" ca="1" si="65"/>
        <v>0</v>
      </c>
      <c r="AC179" s="110">
        <f t="shared" ca="1" si="65"/>
        <v>0</v>
      </c>
      <c r="AD179" s="110">
        <f t="shared" ca="1" si="65"/>
        <v>0</v>
      </c>
      <c r="AE179" s="110">
        <f t="shared" ca="1" si="65"/>
        <v>0</v>
      </c>
      <c r="AF179" s="110">
        <f t="shared" ca="1" si="65"/>
        <v>0</v>
      </c>
      <c r="AG179" s="110">
        <f t="shared" ca="1" si="65"/>
        <v>0</v>
      </c>
      <c r="AH179" s="110">
        <f t="shared" ca="1" si="65"/>
        <v>0</v>
      </c>
      <c r="AI179" s="110">
        <f t="shared" ca="1" si="65"/>
        <v>0</v>
      </c>
      <c r="AJ179" s="110">
        <f t="shared" ca="1" si="65"/>
        <v>0</v>
      </c>
      <c r="AK179" s="110">
        <f t="shared" ca="1" si="66"/>
        <v>0</v>
      </c>
      <c r="AL179" s="110">
        <f t="shared" ca="1" si="63"/>
        <v>0</v>
      </c>
      <c r="AM179" s="110">
        <f t="shared" ca="1" si="63"/>
        <v>0</v>
      </c>
      <c r="AN179" s="110">
        <f t="shared" ca="1" si="63"/>
        <v>0</v>
      </c>
      <c r="AO179" s="110">
        <f t="shared" ca="1" si="63"/>
        <v>0</v>
      </c>
    </row>
    <row r="180" spans="4:41">
      <c r="D180" s="128">
        <f t="shared" ca="1" si="64"/>
        <v>-1.9497716894977173</v>
      </c>
      <c r="E180" s="110">
        <f t="shared" ca="1" si="68"/>
        <v>0</v>
      </c>
      <c r="F180" s="110">
        <f t="shared" ca="1" si="68"/>
        <v>0</v>
      </c>
      <c r="G180" s="110">
        <f t="shared" ca="1" si="68"/>
        <v>0</v>
      </c>
      <c r="H180" s="110">
        <f t="shared" ca="1" si="68"/>
        <v>0</v>
      </c>
      <c r="I180" s="110">
        <f t="shared" ca="1" si="68"/>
        <v>0</v>
      </c>
      <c r="J180" s="110">
        <f t="shared" ca="1" si="68"/>
        <v>0</v>
      </c>
      <c r="K180" s="110">
        <f t="shared" ca="1" si="68"/>
        <v>0</v>
      </c>
      <c r="L180" s="110">
        <f t="shared" ca="1" si="68"/>
        <v>0</v>
      </c>
      <c r="M180" s="110">
        <f t="shared" ca="1" si="68"/>
        <v>0</v>
      </c>
      <c r="N180" s="110">
        <f t="shared" ca="1" si="68"/>
        <v>0</v>
      </c>
      <c r="O180" s="110">
        <f t="shared" ca="1" si="68"/>
        <v>0</v>
      </c>
      <c r="P180" s="110">
        <f t="shared" ca="1" si="68"/>
        <v>0</v>
      </c>
      <c r="Q180" s="110">
        <f t="shared" ca="1" si="68"/>
        <v>0</v>
      </c>
      <c r="R180" s="110">
        <f t="shared" ca="1" si="68"/>
        <v>0</v>
      </c>
      <c r="S180" s="110">
        <f t="shared" ca="1" si="68"/>
        <v>0</v>
      </c>
      <c r="T180" s="110">
        <f t="shared" ca="1" si="68"/>
        <v>0</v>
      </c>
      <c r="U180" s="110">
        <f t="shared" ca="1" si="65"/>
        <v>0</v>
      </c>
      <c r="V180" s="110">
        <f t="shared" ca="1" si="65"/>
        <v>0</v>
      </c>
      <c r="W180" s="110">
        <f t="shared" ca="1" si="65"/>
        <v>0</v>
      </c>
      <c r="X180" s="110">
        <f t="shared" ca="1" si="65"/>
        <v>0</v>
      </c>
      <c r="Y180" s="110">
        <f t="shared" ca="1" si="65"/>
        <v>0</v>
      </c>
      <c r="Z180" s="110">
        <f t="shared" ca="1" si="65"/>
        <v>0</v>
      </c>
      <c r="AA180" s="110">
        <f t="shared" ca="1" si="65"/>
        <v>0</v>
      </c>
      <c r="AB180" s="110">
        <f t="shared" ca="1" si="65"/>
        <v>0</v>
      </c>
      <c r="AC180" s="110">
        <f t="shared" ca="1" si="65"/>
        <v>0</v>
      </c>
      <c r="AD180" s="110">
        <f t="shared" ca="1" si="65"/>
        <v>0</v>
      </c>
      <c r="AE180" s="110">
        <f t="shared" ca="1" si="65"/>
        <v>0</v>
      </c>
      <c r="AF180" s="110">
        <f t="shared" ca="1" si="65"/>
        <v>0</v>
      </c>
      <c r="AG180" s="110">
        <f t="shared" ca="1" si="65"/>
        <v>0</v>
      </c>
      <c r="AH180" s="110">
        <f t="shared" ca="1" si="65"/>
        <v>0</v>
      </c>
      <c r="AI180" s="110">
        <f t="shared" ca="1" si="65"/>
        <v>0</v>
      </c>
      <c r="AJ180" s="110">
        <f t="shared" ca="1" si="65"/>
        <v>0</v>
      </c>
      <c r="AK180" s="110">
        <f t="shared" ca="1" si="66"/>
        <v>0</v>
      </c>
      <c r="AL180" s="110">
        <f t="shared" ca="1" si="63"/>
        <v>0</v>
      </c>
      <c r="AM180" s="110">
        <f t="shared" ca="1" si="63"/>
        <v>0</v>
      </c>
      <c r="AN180" s="110">
        <f t="shared" ca="1" si="63"/>
        <v>0</v>
      </c>
      <c r="AO180" s="110">
        <f t="shared" ca="1" si="63"/>
        <v>0</v>
      </c>
    </row>
    <row r="181" spans="4:41">
      <c r="D181" s="128">
        <f t="shared" ca="1" si="64"/>
        <v>-1.9502283105022835</v>
      </c>
      <c r="E181" s="110">
        <f t="shared" ca="1" si="68"/>
        <v>0</v>
      </c>
      <c r="F181" s="110">
        <f t="shared" ca="1" si="68"/>
        <v>0</v>
      </c>
      <c r="G181" s="110">
        <f t="shared" ca="1" si="68"/>
        <v>0</v>
      </c>
      <c r="H181" s="110">
        <f t="shared" ca="1" si="68"/>
        <v>0</v>
      </c>
      <c r="I181" s="110">
        <f t="shared" ca="1" si="68"/>
        <v>0</v>
      </c>
      <c r="J181" s="110">
        <f t="shared" ca="1" si="68"/>
        <v>0</v>
      </c>
      <c r="K181" s="110">
        <f t="shared" ca="1" si="68"/>
        <v>0</v>
      </c>
      <c r="L181" s="110">
        <f t="shared" ca="1" si="68"/>
        <v>0</v>
      </c>
      <c r="M181" s="110">
        <f t="shared" ca="1" si="68"/>
        <v>0</v>
      </c>
      <c r="N181" s="110">
        <f t="shared" ca="1" si="68"/>
        <v>0</v>
      </c>
      <c r="O181" s="110">
        <f t="shared" ca="1" si="68"/>
        <v>0</v>
      </c>
      <c r="P181" s="110">
        <f t="shared" ca="1" si="68"/>
        <v>0</v>
      </c>
      <c r="Q181" s="110">
        <f t="shared" ca="1" si="68"/>
        <v>0</v>
      </c>
      <c r="R181" s="110">
        <f t="shared" ca="1" si="68"/>
        <v>0</v>
      </c>
      <c r="S181" s="110">
        <f t="shared" ca="1" si="68"/>
        <v>0</v>
      </c>
      <c r="T181" s="110">
        <f t="shared" ca="1" si="68"/>
        <v>0</v>
      </c>
      <c r="U181" s="110">
        <f t="shared" ca="1" si="65"/>
        <v>0</v>
      </c>
      <c r="V181" s="110">
        <f t="shared" ca="1" si="65"/>
        <v>0</v>
      </c>
      <c r="W181" s="110">
        <f t="shared" ca="1" si="65"/>
        <v>0</v>
      </c>
      <c r="X181" s="110">
        <f t="shared" ca="1" si="65"/>
        <v>0</v>
      </c>
      <c r="Y181" s="110">
        <f t="shared" ca="1" si="65"/>
        <v>0</v>
      </c>
      <c r="Z181" s="110">
        <f t="shared" ca="1" si="65"/>
        <v>0</v>
      </c>
      <c r="AA181" s="110">
        <f t="shared" ca="1" si="65"/>
        <v>0</v>
      </c>
      <c r="AB181" s="110">
        <f t="shared" ca="1" si="65"/>
        <v>0</v>
      </c>
      <c r="AC181" s="110">
        <f t="shared" ca="1" si="65"/>
        <v>0</v>
      </c>
      <c r="AD181" s="110">
        <f t="shared" ca="1" si="65"/>
        <v>0</v>
      </c>
      <c r="AE181" s="110">
        <f t="shared" ca="1" si="65"/>
        <v>0</v>
      </c>
      <c r="AF181" s="110">
        <f t="shared" ca="1" si="65"/>
        <v>0</v>
      </c>
      <c r="AG181" s="110">
        <f t="shared" ca="1" si="65"/>
        <v>0</v>
      </c>
      <c r="AH181" s="110">
        <f t="shared" ca="1" si="65"/>
        <v>0</v>
      </c>
      <c r="AI181" s="110">
        <f t="shared" ca="1" si="65"/>
        <v>0</v>
      </c>
      <c r="AJ181" s="110">
        <f t="shared" ca="1" si="65"/>
        <v>0</v>
      </c>
      <c r="AK181" s="110">
        <f t="shared" ca="1" si="66"/>
        <v>0</v>
      </c>
      <c r="AL181" s="110">
        <f t="shared" ca="1" si="63"/>
        <v>0</v>
      </c>
      <c r="AM181" s="110">
        <f t="shared" ca="1" si="63"/>
        <v>0</v>
      </c>
      <c r="AN181" s="110">
        <f t="shared" ca="1" si="63"/>
        <v>0</v>
      </c>
      <c r="AO181" s="110">
        <f t="shared" ca="1" si="63"/>
        <v>0</v>
      </c>
    </row>
    <row r="182" spans="4:41">
      <c r="D182" s="128">
        <f t="shared" ca="1" si="64"/>
        <v>-1.9506849315068497</v>
      </c>
      <c r="E182" s="110">
        <f t="shared" ca="1" si="68"/>
        <v>0</v>
      </c>
      <c r="F182" s="110">
        <f t="shared" ca="1" si="68"/>
        <v>0</v>
      </c>
      <c r="G182" s="110">
        <f t="shared" ca="1" si="68"/>
        <v>0</v>
      </c>
      <c r="H182" s="110">
        <f t="shared" ca="1" si="68"/>
        <v>0</v>
      </c>
      <c r="I182" s="110">
        <f t="shared" ca="1" si="68"/>
        <v>0</v>
      </c>
      <c r="J182" s="110">
        <f t="shared" ca="1" si="68"/>
        <v>0</v>
      </c>
      <c r="K182" s="110">
        <f t="shared" ca="1" si="68"/>
        <v>0</v>
      </c>
      <c r="L182" s="110">
        <f t="shared" ca="1" si="68"/>
        <v>0</v>
      </c>
      <c r="M182" s="110">
        <f t="shared" ca="1" si="68"/>
        <v>0</v>
      </c>
      <c r="N182" s="110">
        <f t="shared" ca="1" si="68"/>
        <v>0</v>
      </c>
      <c r="O182" s="110">
        <f t="shared" ca="1" si="68"/>
        <v>0</v>
      </c>
      <c r="P182" s="110">
        <f t="shared" ca="1" si="68"/>
        <v>0</v>
      </c>
      <c r="Q182" s="110">
        <f t="shared" ca="1" si="68"/>
        <v>0</v>
      </c>
      <c r="R182" s="110">
        <f t="shared" ca="1" si="68"/>
        <v>0</v>
      </c>
      <c r="S182" s="110">
        <f t="shared" ca="1" si="68"/>
        <v>0</v>
      </c>
      <c r="T182" s="110">
        <f t="shared" ca="1" si="68"/>
        <v>0</v>
      </c>
      <c r="U182" s="110">
        <f t="shared" ca="1" si="65"/>
        <v>0</v>
      </c>
      <c r="V182" s="110">
        <f t="shared" ca="1" si="65"/>
        <v>0</v>
      </c>
      <c r="W182" s="110">
        <f t="shared" ca="1" si="65"/>
        <v>0</v>
      </c>
      <c r="X182" s="110">
        <f t="shared" ca="1" si="65"/>
        <v>0</v>
      </c>
      <c r="Y182" s="110">
        <f t="shared" ca="1" si="65"/>
        <v>0</v>
      </c>
      <c r="Z182" s="110">
        <f t="shared" ca="1" si="65"/>
        <v>0</v>
      </c>
      <c r="AA182" s="110">
        <f t="shared" ca="1" si="65"/>
        <v>0</v>
      </c>
      <c r="AB182" s="110">
        <f t="shared" ca="1" si="65"/>
        <v>0</v>
      </c>
      <c r="AC182" s="110">
        <f t="shared" ca="1" si="65"/>
        <v>0</v>
      </c>
      <c r="AD182" s="110">
        <f t="shared" ca="1" si="65"/>
        <v>0</v>
      </c>
      <c r="AE182" s="110">
        <f t="shared" ca="1" si="65"/>
        <v>0</v>
      </c>
      <c r="AF182" s="110">
        <f t="shared" ca="1" si="65"/>
        <v>0</v>
      </c>
      <c r="AG182" s="110">
        <f t="shared" ca="1" si="65"/>
        <v>0</v>
      </c>
      <c r="AH182" s="110">
        <f t="shared" ca="1" si="65"/>
        <v>0</v>
      </c>
      <c r="AI182" s="110">
        <f t="shared" ca="1" si="65"/>
        <v>0</v>
      </c>
      <c r="AJ182" s="110">
        <f t="shared" ca="1" si="65"/>
        <v>0</v>
      </c>
      <c r="AK182" s="110">
        <f t="shared" ca="1" si="66"/>
        <v>0</v>
      </c>
      <c r="AL182" s="110">
        <f t="shared" ca="1" si="63"/>
        <v>0</v>
      </c>
      <c r="AM182" s="110">
        <f t="shared" ca="1" si="63"/>
        <v>0</v>
      </c>
      <c r="AN182" s="110">
        <f t="shared" ca="1" si="63"/>
        <v>0</v>
      </c>
      <c r="AO182" s="110">
        <f t="shared" ca="1" si="63"/>
        <v>0</v>
      </c>
    </row>
    <row r="183" spans="4:41">
      <c r="D183" s="128">
        <f t="shared" ca="1" si="64"/>
        <v>-1.951141552511416</v>
      </c>
      <c r="E183" s="110">
        <f t="shared" ca="1" si="68"/>
        <v>0</v>
      </c>
      <c r="F183" s="110">
        <f t="shared" ca="1" si="68"/>
        <v>0</v>
      </c>
      <c r="G183" s="110">
        <f t="shared" ca="1" si="68"/>
        <v>0</v>
      </c>
      <c r="H183" s="110">
        <f t="shared" ca="1" si="68"/>
        <v>0</v>
      </c>
      <c r="I183" s="110">
        <f t="shared" ca="1" si="68"/>
        <v>0</v>
      </c>
      <c r="J183" s="110">
        <f t="shared" ca="1" si="68"/>
        <v>0</v>
      </c>
      <c r="K183" s="110">
        <f t="shared" ca="1" si="68"/>
        <v>0</v>
      </c>
      <c r="L183" s="110">
        <f t="shared" ca="1" si="68"/>
        <v>0</v>
      </c>
      <c r="M183" s="110">
        <f t="shared" ca="1" si="68"/>
        <v>0</v>
      </c>
      <c r="N183" s="110">
        <f t="shared" ca="1" si="68"/>
        <v>0</v>
      </c>
      <c r="O183" s="110">
        <f t="shared" ca="1" si="68"/>
        <v>0</v>
      </c>
      <c r="P183" s="110">
        <f t="shared" ca="1" si="68"/>
        <v>0</v>
      </c>
      <c r="Q183" s="110">
        <f t="shared" ca="1" si="68"/>
        <v>0</v>
      </c>
      <c r="R183" s="110">
        <f t="shared" ca="1" si="68"/>
        <v>0</v>
      </c>
      <c r="S183" s="110">
        <f t="shared" ca="1" si="68"/>
        <v>0</v>
      </c>
      <c r="T183" s="110">
        <f t="shared" ca="1" si="68"/>
        <v>0</v>
      </c>
      <c r="U183" s="110">
        <f t="shared" ref="U183:AK183" ca="1" si="69">IFERROR((OptionPrice(LEFT($C$42),U$35,$C$37,$D183,$C$39,$C$41,$C$40)-$C$43)*$C$44,0)</f>
        <v>0</v>
      </c>
      <c r="V183" s="110">
        <f t="shared" ca="1" si="69"/>
        <v>0</v>
      </c>
      <c r="W183" s="110">
        <f t="shared" ca="1" si="69"/>
        <v>0</v>
      </c>
      <c r="X183" s="110">
        <f t="shared" ca="1" si="69"/>
        <v>0</v>
      </c>
      <c r="Y183" s="110">
        <f t="shared" ca="1" si="69"/>
        <v>0</v>
      </c>
      <c r="Z183" s="110">
        <f t="shared" ca="1" si="69"/>
        <v>0</v>
      </c>
      <c r="AA183" s="110">
        <f t="shared" ca="1" si="69"/>
        <v>0</v>
      </c>
      <c r="AB183" s="110">
        <f t="shared" ca="1" si="69"/>
        <v>0</v>
      </c>
      <c r="AC183" s="110">
        <f t="shared" ca="1" si="69"/>
        <v>0</v>
      </c>
      <c r="AD183" s="110">
        <f t="shared" ca="1" si="69"/>
        <v>0</v>
      </c>
      <c r="AE183" s="110">
        <f t="shared" ca="1" si="69"/>
        <v>0</v>
      </c>
      <c r="AF183" s="110">
        <f t="shared" ca="1" si="69"/>
        <v>0</v>
      </c>
      <c r="AG183" s="110">
        <f t="shared" ca="1" si="69"/>
        <v>0</v>
      </c>
      <c r="AH183" s="110">
        <f t="shared" ca="1" si="69"/>
        <v>0</v>
      </c>
      <c r="AI183" s="110">
        <f t="shared" ca="1" si="69"/>
        <v>0</v>
      </c>
      <c r="AJ183" s="110">
        <f t="shared" ca="1" si="69"/>
        <v>0</v>
      </c>
      <c r="AK183" s="110">
        <f t="shared" ca="1" si="69"/>
        <v>0</v>
      </c>
      <c r="AL183" s="110">
        <f t="shared" ca="1" si="63"/>
        <v>0</v>
      </c>
      <c r="AM183" s="110">
        <f t="shared" ca="1" si="63"/>
        <v>0</v>
      </c>
      <c r="AN183" s="110">
        <f t="shared" ca="1" si="63"/>
        <v>0</v>
      </c>
      <c r="AO183" s="110">
        <f t="shared" ca="1" si="63"/>
        <v>0</v>
      </c>
    </row>
  </sheetData>
  <conditionalFormatting sqref="C6">
    <cfRule type="cellIs" dxfId="79" priority="81" operator="lessThan">
      <formula>0</formula>
    </cfRule>
    <cfRule type="cellIs" dxfId="78" priority="87" operator="greaterThan">
      <formula>0</formula>
    </cfRule>
  </conditionalFormatting>
  <conditionalFormatting sqref="C10">
    <cfRule type="cellIs" dxfId="77" priority="79" operator="lessThan">
      <formula>0</formula>
    </cfRule>
    <cfRule type="cellIs" dxfId="76" priority="80" operator="greaterThan">
      <formula>0</formula>
    </cfRule>
  </conditionalFormatting>
  <conditionalFormatting sqref="C7">
    <cfRule type="cellIs" dxfId="75" priority="69" operator="lessThan">
      <formula>0</formula>
    </cfRule>
    <cfRule type="cellIs" dxfId="74" priority="70" operator="greaterThan">
      <formula>0</formula>
    </cfRule>
  </conditionalFormatting>
  <conditionalFormatting sqref="C13">
    <cfRule type="cellIs" dxfId="73" priority="59" operator="lessThan">
      <formula>0</formula>
    </cfRule>
    <cfRule type="cellIs" dxfId="72" priority="60" operator="greaterThan">
      <formula>0</formula>
    </cfRule>
  </conditionalFormatting>
  <conditionalFormatting sqref="C15">
    <cfRule type="cellIs" dxfId="71" priority="57" operator="lessThan">
      <formula>0</formula>
    </cfRule>
    <cfRule type="cellIs" dxfId="70" priority="58" operator="greaterThan">
      <formula>0</formula>
    </cfRule>
  </conditionalFormatting>
  <conditionalFormatting sqref="C17">
    <cfRule type="cellIs" dxfId="69" priority="55" operator="lessThan">
      <formula>0</formula>
    </cfRule>
    <cfRule type="cellIs" dxfId="68" priority="56" operator="greaterThan">
      <formula>0</formula>
    </cfRule>
  </conditionalFormatting>
  <conditionalFormatting sqref="C19">
    <cfRule type="cellIs" dxfId="67" priority="53" operator="lessThan">
      <formula>0</formula>
    </cfRule>
    <cfRule type="cellIs" dxfId="66" priority="54" operator="greaterThan">
      <formula>0</formula>
    </cfRule>
  </conditionalFormatting>
  <conditionalFormatting sqref="C14">
    <cfRule type="cellIs" dxfId="65" priority="51" operator="lessThan">
      <formula>0</formula>
    </cfRule>
    <cfRule type="cellIs" dxfId="64" priority="52" operator="greaterThan">
      <formula>0</formula>
    </cfRule>
  </conditionalFormatting>
  <conditionalFormatting sqref="C16">
    <cfRule type="cellIs" dxfId="63" priority="49" operator="lessThan">
      <formula>0</formula>
    </cfRule>
    <cfRule type="cellIs" dxfId="62" priority="50" operator="greaterThan">
      <formula>0</formula>
    </cfRule>
  </conditionalFormatting>
  <conditionalFormatting sqref="C18">
    <cfRule type="cellIs" dxfId="61" priority="47" operator="lessThan">
      <formula>0</formula>
    </cfRule>
    <cfRule type="cellIs" dxfId="60" priority="48" operator="greaterThan">
      <formula>0</formula>
    </cfRule>
  </conditionalFormatting>
  <conditionalFormatting sqref="C20">
    <cfRule type="cellIs" dxfId="59" priority="45" operator="lessThan">
      <formula>0</formula>
    </cfRule>
    <cfRule type="cellIs" dxfId="58" priority="46" operator="greaterThan">
      <formula>0</formula>
    </cfRule>
  </conditionalFormatting>
  <conditionalFormatting sqref="E37:AO68">
    <cfRule type="containsText" dxfId="57" priority="21" operator="containsText" text="&quot;&quot;">
      <formula>NOT(ISERROR(SEARCH("""""",E37)))</formula>
    </cfRule>
    <cfRule type="cellIs" dxfId="56" priority="44" operator="greaterThan">
      <formula>1</formula>
    </cfRule>
  </conditionalFormatting>
  <conditionalFormatting sqref="E74:AO105">
    <cfRule type="cellIs" dxfId="55" priority="41" operator="greaterThan">
      <formula>0</formula>
    </cfRule>
  </conditionalFormatting>
  <conditionalFormatting sqref="E111:AO142">
    <cfRule type="cellIs" dxfId="54" priority="40" operator="greaterThan">
      <formula>0</formula>
    </cfRule>
  </conditionalFormatting>
  <conditionalFormatting sqref="E152:AO183">
    <cfRule type="containsText" dxfId="53" priority="13" operator="containsText" text="&quot;&quot;">
      <formula>NOT(ISERROR(SEARCH("""""",E152)))</formula>
    </cfRule>
    <cfRule type="cellIs" dxfId="52" priority="20" operator="greaterThan">
      <formula>1</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ellIs" priority="38" operator="between" id="{35A23C72-EB6D-4E8B-B7CA-2B0BF75A2513}">
            <xm:f>Market!$E$13</xm:f>
            <xm:f>Market!$F$13</xm:f>
            <x14:dxf>
              <fill>
                <patternFill>
                  <bgColor theme="9" tint="0.59996337778862885"/>
                </patternFill>
              </fill>
            </x14:dxf>
          </x14:cfRule>
          <x14:cfRule type="cellIs" priority="39" operator="between" id="{AC3F30D2-B594-4DA9-A348-9D54DA4B8935}">
            <xm:f>Market!$D$13</xm:f>
            <xm:f>Market!$E$13</xm:f>
            <x14:dxf>
              <fill>
                <patternFill>
                  <bgColor theme="9" tint="0.79998168889431442"/>
                </patternFill>
              </fill>
            </x14:dxf>
          </x14:cfRule>
          <xm:sqref>E35:AO35</xm:sqref>
        </x14:conditionalFormatting>
        <x14:conditionalFormatting xmlns:xm="http://schemas.microsoft.com/office/excel/2006/main">
          <x14:cfRule type="cellIs" priority="34" operator="between" id="{B395BF49-FDF4-4A74-9AEB-03C1EB687EE6}">
            <xm:f>Market!$G$13</xm:f>
            <xm:f>Market!$H$13</xm:f>
            <x14:dxf>
              <fill>
                <patternFill>
                  <bgColor theme="7" tint="0.79998168889431442"/>
                </patternFill>
              </fill>
            </x14:dxf>
          </x14:cfRule>
          <x14:cfRule type="cellIs" priority="35" operator="between" id="{1B0233EA-D3FE-4C18-AC9D-CD586578102F}">
            <xm:f>Market!$H$13</xm:f>
            <xm:f>Market!$I$13</xm:f>
            <x14:dxf>
              <fill>
                <patternFill>
                  <bgColor theme="7" tint="0.59996337778862885"/>
                </patternFill>
              </fill>
            </x14:dxf>
          </x14:cfRule>
          <x14:cfRule type="cellIs" priority="36" operator="lessThan" id="{60FD102D-8C60-46C9-A23A-B9335D906D3A}">
            <xm:f>Market!$I$13</xm:f>
            <x14:dxf>
              <fill>
                <patternFill>
                  <fgColor rgb="FFFF0000"/>
                  <bgColor theme="7" tint="0.39994506668294322"/>
                </patternFill>
              </fill>
            </x14:dxf>
          </x14:cfRule>
          <x14:cfRule type="cellIs" priority="37" operator="greaterThan" id="{2EDA249D-501D-4D5D-85AA-272634ADE8D9}">
            <xm:f>Market!$F$13</xm:f>
            <x14:dxf>
              <fill>
                <patternFill>
                  <bgColor theme="9" tint="0.39994506668294322"/>
                </patternFill>
              </fill>
            </x14:dxf>
          </x14:cfRule>
          <xm:sqref>D35:AO35</xm:sqref>
        </x14:conditionalFormatting>
        <x14:conditionalFormatting xmlns:xm="http://schemas.microsoft.com/office/excel/2006/main">
          <x14:cfRule type="cellIs" priority="18" operator="between" id="{225D693C-4C1D-4876-962E-B214640B354C}">
            <xm:f>Market!$E$13</xm:f>
            <xm:f>Market!$F$13</xm:f>
            <x14:dxf>
              <fill>
                <patternFill>
                  <bgColor theme="9" tint="0.59996337778862885"/>
                </patternFill>
              </fill>
            </x14:dxf>
          </x14:cfRule>
          <x14:cfRule type="cellIs" priority="19" operator="between" id="{928B2AEF-A231-4E35-B165-44A42225F859}">
            <xm:f>Market!$D$13</xm:f>
            <xm:f>Market!$E$13</xm:f>
            <x14:dxf>
              <fill>
                <patternFill>
                  <bgColor theme="9" tint="0.79998168889431442"/>
                </patternFill>
              </fill>
            </x14:dxf>
          </x14:cfRule>
          <xm:sqref>E150:AO150</xm:sqref>
        </x14:conditionalFormatting>
        <x14:conditionalFormatting xmlns:xm="http://schemas.microsoft.com/office/excel/2006/main">
          <x14:cfRule type="cellIs" priority="14" operator="between" id="{2FBBF2BD-7A47-4CD7-866F-50C548102BC6}">
            <xm:f>Market!$G$13</xm:f>
            <xm:f>Market!$H$13</xm:f>
            <x14:dxf>
              <fill>
                <patternFill>
                  <bgColor theme="7" tint="0.79998168889431442"/>
                </patternFill>
              </fill>
            </x14:dxf>
          </x14:cfRule>
          <x14:cfRule type="cellIs" priority="15" operator="between" id="{4397EE4B-313C-413A-A1AB-44EACA21FE05}">
            <xm:f>Market!$H$13</xm:f>
            <xm:f>Market!$I$13</xm:f>
            <x14:dxf>
              <fill>
                <patternFill>
                  <bgColor theme="7" tint="0.59996337778862885"/>
                </patternFill>
              </fill>
            </x14:dxf>
          </x14:cfRule>
          <x14:cfRule type="cellIs" priority="16" operator="lessThan" id="{45FF6606-36F9-40E4-8D7D-8EB06B99D93D}">
            <xm:f>Market!$I$13</xm:f>
            <x14:dxf>
              <fill>
                <patternFill>
                  <fgColor rgb="FFFF0000"/>
                  <bgColor theme="7" tint="0.39994506668294322"/>
                </patternFill>
              </fill>
            </x14:dxf>
          </x14:cfRule>
          <x14:cfRule type="cellIs" priority="17" operator="greaterThan" id="{E8D0F401-D35B-4F41-B954-2B65F34498A6}">
            <xm:f>Market!$F$13</xm:f>
            <x14:dxf>
              <fill>
                <patternFill>
                  <bgColor theme="9" tint="0.39994506668294322"/>
                </patternFill>
              </fill>
            </x14:dxf>
          </x14:cfRule>
          <xm:sqref>D150:AO150</xm:sqref>
        </x14:conditionalFormatting>
        <x14:conditionalFormatting xmlns:xm="http://schemas.microsoft.com/office/excel/2006/main">
          <x14:cfRule type="cellIs" priority="11" operator="between" id="{31B6B3F1-B200-4D8F-8655-CB0DF7D5B6AE}">
            <xm:f>Market!$E$13</xm:f>
            <xm:f>Market!$F$13</xm:f>
            <x14:dxf>
              <fill>
                <patternFill>
                  <bgColor theme="9" tint="0.59996337778862885"/>
                </patternFill>
              </fill>
            </x14:dxf>
          </x14:cfRule>
          <x14:cfRule type="cellIs" priority="12" operator="between" id="{6ABF33B7-AED0-485D-A222-63D23CC02C07}">
            <xm:f>Market!$D$13</xm:f>
            <xm:f>Market!$E$13</xm:f>
            <x14:dxf>
              <fill>
                <patternFill>
                  <bgColor theme="9" tint="0.79998168889431442"/>
                </patternFill>
              </fill>
            </x14:dxf>
          </x14:cfRule>
          <xm:sqref>E72:AO72</xm:sqref>
        </x14:conditionalFormatting>
        <x14:conditionalFormatting xmlns:xm="http://schemas.microsoft.com/office/excel/2006/main">
          <x14:cfRule type="cellIs" priority="7" operator="between" id="{2FDCBB57-142F-4CC2-9EF3-E6448F776025}">
            <xm:f>Market!$G$13</xm:f>
            <xm:f>Market!$H$13</xm:f>
            <x14:dxf>
              <fill>
                <patternFill>
                  <bgColor theme="7" tint="0.79998168889431442"/>
                </patternFill>
              </fill>
            </x14:dxf>
          </x14:cfRule>
          <x14:cfRule type="cellIs" priority="8" operator="between" id="{6237B8CD-359D-4827-BEC9-572560E37E36}">
            <xm:f>Market!$H$13</xm:f>
            <xm:f>Market!$I$13</xm:f>
            <x14:dxf>
              <fill>
                <patternFill>
                  <bgColor theme="7" tint="0.59996337778862885"/>
                </patternFill>
              </fill>
            </x14:dxf>
          </x14:cfRule>
          <x14:cfRule type="cellIs" priority="9" operator="lessThan" id="{51CCA0CB-BF00-4399-AB28-39BD17E09008}">
            <xm:f>Market!$I$13</xm:f>
            <x14:dxf>
              <fill>
                <patternFill>
                  <fgColor rgb="FFFF0000"/>
                  <bgColor theme="7" tint="0.39994506668294322"/>
                </patternFill>
              </fill>
            </x14:dxf>
          </x14:cfRule>
          <x14:cfRule type="cellIs" priority="10" operator="greaterThan" id="{E23ED720-B52B-4F91-AA33-2D2D79597E63}">
            <xm:f>Market!$F$13</xm:f>
            <x14:dxf>
              <fill>
                <patternFill>
                  <bgColor theme="9" tint="0.39994506668294322"/>
                </patternFill>
              </fill>
            </x14:dxf>
          </x14:cfRule>
          <xm:sqref>D72:AO72</xm:sqref>
        </x14:conditionalFormatting>
        <x14:conditionalFormatting xmlns:xm="http://schemas.microsoft.com/office/excel/2006/main">
          <x14:cfRule type="cellIs" priority="5" operator="between" id="{75D17DB6-7D2D-4905-81AC-393B3FFCE38D}">
            <xm:f>Market!$E$13</xm:f>
            <xm:f>Market!$F$13</xm:f>
            <x14:dxf>
              <fill>
                <patternFill>
                  <bgColor theme="9" tint="0.59996337778862885"/>
                </patternFill>
              </fill>
            </x14:dxf>
          </x14:cfRule>
          <x14:cfRule type="cellIs" priority="6" operator="between" id="{7664F38E-18F7-46A2-B6E2-4C0AB40806A1}">
            <xm:f>Market!$D$13</xm:f>
            <xm:f>Market!$E$13</xm:f>
            <x14:dxf>
              <fill>
                <patternFill>
                  <bgColor theme="9" tint="0.79998168889431442"/>
                </patternFill>
              </fill>
            </x14:dxf>
          </x14:cfRule>
          <xm:sqref>E109:AO109</xm:sqref>
        </x14:conditionalFormatting>
        <x14:conditionalFormatting xmlns:xm="http://schemas.microsoft.com/office/excel/2006/main">
          <x14:cfRule type="cellIs" priority="1" operator="between" id="{3A6E4268-CC50-4A3F-ADE6-1258034FC9F5}">
            <xm:f>Market!$G$13</xm:f>
            <xm:f>Market!$H$13</xm:f>
            <x14:dxf>
              <fill>
                <patternFill>
                  <bgColor theme="7" tint="0.79998168889431442"/>
                </patternFill>
              </fill>
            </x14:dxf>
          </x14:cfRule>
          <x14:cfRule type="cellIs" priority="2" operator="between" id="{34B87CC3-0D90-457C-8537-BC3134366E2D}">
            <xm:f>Market!$H$13</xm:f>
            <xm:f>Market!$I$13</xm:f>
            <x14:dxf>
              <fill>
                <patternFill>
                  <bgColor theme="7" tint="0.59996337778862885"/>
                </patternFill>
              </fill>
            </x14:dxf>
          </x14:cfRule>
          <x14:cfRule type="cellIs" priority="3" operator="lessThan" id="{D721B00E-27E6-415F-87F0-274A9BC5CBEE}">
            <xm:f>Market!$I$13</xm:f>
            <x14:dxf>
              <fill>
                <patternFill>
                  <fgColor rgb="FFFF0000"/>
                  <bgColor theme="7" tint="0.39994506668294322"/>
                </patternFill>
              </fill>
            </x14:dxf>
          </x14:cfRule>
          <x14:cfRule type="cellIs" priority="4" operator="greaterThan" id="{BE948F2F-7680-48D6-AF23-CBFBAB7586E5}">
            <xm:f>Market!$F$13</xm:f>
            <x14:dxf>
              <fill>
                <patternFill>
                  <bgColor theme="9" tint="0.39994506668294322"/>
                </patternFill>
              </fill>
            </x14:dxf>
          </x14:cfRule>
          <xm:sqref>D109:AO109</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
  <sheetViews>
    <sheetView workbookViewId="0">
      <selection activeCell="J19" sqref="J19"/>
    </sheetView>
  </sheetViews>
  <sheetFormatPr defaultRowHeight="1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G1"/>
  <sheetViews>
    <sheetView workbookViewId="0">
      <selection activeCell="H1" sqref="H1"/>
    </sheetView>
  </sheetViews>
  <sheetFormatPr defaultColWidth="12.42578125" defaultRowHeight="15"/>
  <sheetData>
    <row r="1" spans="1:7">
      <c r="A1" t="s">
        <v>21</v>
      </c>
      <c r="B1" t="s">
        <v>653</v>
      </c>
      <c r="C1" t="s">
        <v>652</v>
      </c>
      <c r="D1" t="s">
        <v>654</v>
      </c>
      <c r="E1" t="s">
        <v>655</v>
      </c>
      <c r="F1" t="s">
        <v>656</v>
      </c>
      <c r="G1" t="s">
        <v>657</v>
      </c>
    </row>
  </sheetData>
  <sortState xmlns:xlrd2="http://schemas.microsoft.com/office/spreadsheetml/2017/richdata2" ref="C11:T30">
    <sortCondition ref="H11:H30"/>
    <sortCondition descending="1" ref="I11:I30"/>
    <sortCondition descending="1" ref="J11:J30"/>
    <sortCondition ref="L11:L30"/>
    <sortCondition descending="1" ref="N11:N30"/>
    <sortCondition ref="R11:R30"/>
    <sortCondition ref="S11:S30"/>
    <sortCondition ref="T11:T30"/>
    <sortCondition descending="1" ref="P11:P30"/>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AX58"/>
  <sheetViews>
    <sheetView zoomScale="85" zoomScaleNormal="85" workbookViewId="0">
      <pane xSplit="3" ySplit="1" topLeftCell="I2" activePane="bottomRight" state="frozen"/>
      <selection pane="topRight" activeCell="D1" sqref="D1"/>
      <selection pane="bottomLeft" activeCell="A2" sqref="A2"/>
      <selection pane="bottomRight" activeCell="J6" sqref="J6"/>
    </sheetView>
  </sheetViews>
  <sheetFormatPr defaultRowHeight="15" outlineLevelCol="1"/>
  <cols>
    <col min="1" max="1" width="10.5703125" bestFit="1" customWidth="1"/>
    <col min="2" max="2" width="20.5703125" bestFit="1" customWidth="1"/>
    <col min="3" max="3" width="20.5703125" customWidth="1"/>
    <col min="7" max="7" width="12.28515625" bestFit="1" customWidth="1"/>
    <col min="8" max="8" width="12" customWidth="1"/>
    <col min="14" max="14" width="9.28515625" bestFit="1" customWidth="1"/>
    <col min="15" max="15" width="11.85546875" bestFit="1" customWidth="1"/>
    <col min="16" max="16" width="11.85546875" customWidth="1"/>
    <col min="17" max="17" width="9.28515625" bestFit="1" customWidth="1"/>
    <col min="18" max="18" width="9.28515625" customWidth="1"/>
    <col min="19" max="19" width="12.7109375" bestFit="1" customWidth="1"/>
    <col min="20" max="20" width="9.28515625" customWidth="1"/>
    <col min="21" max="21" width="10.28515625" bestFit="1" customWidth="1"/>
    <col min="22" max="22" width="11.7109375" bestFit="1" customWidth="1"/>
    <col min="23" max="23" width="12.7109375" bestFit="1" customWidth="1"/>
    <col min="24" max="24" width="11.85546875" style="34" bestFit="1" customWidth="1"/>
    <col min="27" max="27" width="9.140625" style="34"/>
    <col min="28" max="28" width="15" bestFit="1" customWidth="1"/>
    <col min="37" max="37" width="22.140625" customWidth="1"/>
    <col min="38" max="41" width="12.28515625" customWidth="1"/>
    <col min="42" max="42" width="12.28515625" hidden="1" customWidth="1" outlineLevel="1"/>
    <col min="43" max="43" width="12.28515625" customWidth="1" collapsed="1"/>
    <col min="44" max="45" width="12.28515625" hidden="1" customWidth="1" outlineLevel="1"/>
    <col min="46" max="46" width="12.28515625" customWidth="1" collapsed="1"/>
    <col min="47" max="47" width="12.28515625" customWidth="1"/>
    <col min="48" max="48" width="18.5703125" hidden="1" customWidth="1" outlineLevel="1"/>
    <col min="49" max="49" width="17.5703125" hidden="1" customWidth="1" outlineLevel="1"/>
    <col min="50" max="50" width="9.140625" collapsed="1"/>
  </cols>
  <sheetData>
    <row r="1" spans="1:50" ht="45">
      <c r="A1" s="36">
        <f ca="1">TODAY()</f>
        <v>45184</v>
      </c>
      <c r="B1" t="s">
        <v>21</v>
      </c>
      <c r="C1" s="46" t="s">
        <v>465</v>
      </c>
      <c r="D1" s="46" t="s">
        <v>487</v>
      </c>
      <c r="E1" s="46" t="s">
        <v>489</v>
      </c>
      <c r="F1" s="51" t="s">
        <v>490</v>
      </c>
      <c r="G1" s="51" t="s">
        <v>491</v>
      </c>
      <c r="H1" s="51" t="s">
        <v>492</v>
      </c>
      <c r="I1" s="52">
        <v>-0.1</v>
      </c>
      <c r="J1" s="52">
        <v>-0.15</v>
      </c>
      <c r="K1" s="52">
        <v>0.1</v>
      </c>
      <c r="L1" s="52">
        <v>0.15</v>
      </c>
      <c r="M1" s="52" t="s">
        <v>78</v>
      </c>
      <c r="N1" s="51" t="s">
        <v>113</v>
      </c>
      <c r="O1" s="51" t="s">
        <v>110</v>
      </c>
      <c r="P1" s="51" t="s">
        <v>501</v>
      </c>
      <c r="Q1" s="51" t="s">
        <v>112</v>
      </c>
      <c r="R1" s="51" t="s">
        <v>71</v>
      </c>
      <c r="S1" s="51" t="s">
        <v>122</v>
      </c>
      <c r="T1" s="51" t="s">
        <v>114</v>
      </c>
      <c r="U1" s="51" t="s">
        <v>115</v>
      </c>
      <c r="V1" s="51" t="s">
        <v>117</v>
      </c>
      <c r="W1" s="51" t="s">
        <v>116</v>
      </c>
      <c r="X1" s="53" t="s">
        <v>118</v>
      </c>
      <c r="Y1" s="51" t="s">
        <v>119</v>
      </c>
      <c r="Z1" s="51" t="s">
        <v>484</v>
      </c>
      <c r="AA1" s="53" t="s">
        <v>120</v>
      </c>
      <c r="AB1" s="51" t="s">
        <v>121</v>
      </c>
      <c r="AC1" s="51" t="s">
        <v>75</v>
      </c>
      <c r="AD1" s="51" t="s">
        <v>500</v>
      </c>
      <c r="AE1" s="51" t="s">
        <v>77</v>
      </c>
      <c r="AF1" s="51" t="s">
        <v>76</v>
      </c>
      <c r="AG1" t="s">
        <v>133</v>
      </c>
      <c r="AK1" s="46" t="s">
        <v>2</v>
      </c>
      <c r="AL1" s="46" t="s">
        <v>467</v>
      </c>
      <c r="AM1" s="46" t="s">
        <v>468</v>
      </c>
      <c r="AN1" s="46" t="s">
        <v>469</v>
      </c>
      <c r="AO1" s="46" t="s">
        <v>470</v>
      </c>
      <c r="AP1" s="46" t="s">
        <v>471</v>
      </c>
      <c r="AQ1" s="46" t="s">
        <v>472</v>
      </c>
      <c r="AR1" s="46" t="s">
        <v>473</v>
      </c>
      <c r="AS1" s="46" t="s">
        <v>474</v>
      </c>
      <c r="AT1" s="46" t="s">
        <v>475</v>
      </c>
      <c r="AU1" s="46" t="s">
        <v>476</v>
      </c>
      <c r="AV1" t="s">
        <v>477</v>
      </c>
      <c r="AW1" t="s">
        <v>478</v>
      </c>
      <c r="AX1" t="s">
        <v>508</v>
      </c>
    </row>
    <row r="2" spans="1:50">
      <c r="A2" s="36" t="s">
        <v>488</v>
      </c>
      <c r="B2" t="s">
        <v>111</v>
      </c>
      <c r="D2" t="str">
        <f>mrigxl_getStockQuote(B2)</f>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G2" t="s">
        <v>495</v>
      </c>
      <c r="I2" t="e">
        <f t="shared" ref="I2:I9" si="0">$D2*(1+I$1)</f>
        <v>#VALUE!</v>
      </c>
      <c r="J2" t="e">
        <f t="shared" ref="J2:L9" si="1">$D2*(1+J$1)</f>
        <v>#VALUE!</v>
      </c>
      <c r="K2" t="e">
        <f t="shared" si="1"/>
        <v>#VALUE!</v>
      </c>
      <c r="L2" t="e">
        <f t="shared" si="1"/>
        <v>#VALUE!</v>
      </c>
      <c r="M2" s="35">
        <v>44525</v>
      </c>
      <c r="N2" s="33">
        <v>125</v>
      </c>
      <c r="O2" s="33">
        <v>6500</v>
      </c>
      <c r="P2" s="34" t="e">
        <f>O2/D2</f>
        <v>#VALUE!</v>
      </c>
      <c r="Q2" s="33" t="str">
        <f>mrigxl_getStockOptionQuote(B2,M2,O2,"PE","SIRIUS")</f>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R2" s="33">
        <v>35</v>
      </c>
      <c r="S2" s="33">
        <v>133712</v>
      </c>
      <c r="T2" s="33">
        <v>1</v>
      </c>
      <c r="U2" s="33" t="e">
        <f t="shared" ref="U2:U6" si="2">Q2*N2*T2</f>
        <v>#VALUE!</v>
      </c>
      <c r="V2" s="33">
        <f t="shared" ref="V2:V7" si="3">S2*T2</f>
        <v>133712</v>
      </c>
      <c r="W2" s="33">
        <f t="shared" ref="W2:W7" si="4">N2*O2*T2</f>
        <v>812500</v>
      </c>
      <c r="X2" s="34" t="e">
        <f t="shared" ref="X2:X7" si="5">Q2*N2/S2</f>
        <v>#VALUE!</v>
      </c>
      <c r="Y2" s="33">
        <f t="shared" ref="Y2:Y7" ca="1" si="6">YEARFRAC($A$1,M2)</f>
        <v>1.8055555555555556</v>
      </c>
      <c r="Z2" s="33">
        <f t="shared" ref="Z2:Z7" ca="1" si="7">M2-$A$1</f>
        <v>-659</v>
      </c>
      <c r="AA2" s="34" t="e">
        <f t="shared" ref="AA2:AA7" ca="1" si="8">X2/Y2</f>
        <v>#VALUE!</v>
      </c>
      <c r="AB2" s="33"/>
      <c r="AG2" t="s">
        <v>134</v>
      </c>
      <c r="AK2" t="s">
        <v>88</v>
      </c>
      <c r="AL2" s="40">
        <v>17387.650000000001</v>
      </c>
      <c r="AM2" s="40">
        <v>17532.7</v>
      </c>
      <c r="AN2" s="40">
        <v>17386.900000000001</v>
      </c>
      <c r="AO2" s="40">
        <v>17523.900000000001</v>
      </c>
      <c r="AP2">
        <v>143.9</v>
      </c>
      <c r="AQ2">
        <v>0.83</v>
      </c>
      <c r="AR2" s="40">
        <v>3347.65</v>
      </c>
      <c r="AS2" s="40">
        <v>20873.57</v>
      </c>
      <c r="AT2" s="40">
        <v>17438.55</v>
      </c>
      <c r="AU2" s="40">
        <v>10790.2</v>
      </c>
      <c r="AV2">
        <v>53.18</v>
      </c>
      <c r="AW2">
        <v>5.8</v>
      </c>
      <c r="AX2">
        <v>5.15</v>
      </c>
    </row>
    <row r="3" spans="1:50">
      <c r="A3" s="36"/>
      <c r="B3" t="s">
        <v>457</v>
      </c>
      <c r="D3" t="s">
        <v>617</v>
      </c>
      <c r="F3">
        <v>260</v>
      </c>
      <c r="I3">
        <f t="shared" si="0"/>
        <v>4870.8</v>
      </c>
      <c r="J3">
        <f t="shared" si="1"/>
        <v>4600.2</v>
      </c>
      <c r="K3">
        <f t="shared" si="1"/>
        <v>5953.2000000000007</v>
      </c>
      <c r="L3">
        <f t="shared" si="1"/>
        <v>6223.7999999999993</v>
      </c>
      <c r="M3" s="35">
        <v>44525</v>
      </c>
      <c r="N3" s="33" t="str">
        <f>VLOOKUP(TRIM($B3),Lots!$B:$F,2,0)</f>
        <v>DIXON</v>
      </c>
      <c r="O3" s="33">
        <v>4500</v>
      </c>
      <c r="P3" s="34">
        <f t="shared" ref="P3:P7" si="9">O3/D3</f>
        <v>0.83148558758314861</v>
      </c>
      <c r="Q3" s="33" t="str">
        <f t="shared" ref="Q3:Q9" si="10">mrigxl_getStockOptionQuote(B3,M3,O3,"PE","SIRIUS")</f>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R3" s="33">
        <v>21.96</v>
      </c>
      <c r="S3" s="33">
        <v>97350</v>
      </c>
      <c r="T3" s="33">
        <v>1</v>
      </c>
      <c r="U3" s="33" t="e">
        <f t="shared" si="2"/>
        <v>#VALUE!</v>
      </c>
      <c r="V3" s="33">
        <f t="shared" si="3"/>
        <v>97350</v>
      </c>
      <c r="W3" s="33" t="e">
        <f t="shared" si="4"/>
        <v>#VALUE!</v>
      </c>
      <c r="X3" s="34" t="e">
        <f t="shared" si="5"/>
        <v>#VALUE!</v>
      </c>
      <c r="Y3" s="33">
        <f t="shared" ca="1" si="6"/>
        <v>1.8055555555555556</v>
      </c>
      <c r="Z3" s="33">
        <f t="shared" ca="1" si="7"/>
        <v>-659</v>
      </c>
      <c r="AA3" s="34" t="e">
        <f t="shared" ca="1" si="8"/>
        <v>#VALUE!</v>
      </c>
      <c r="AB3" s="33"/>
      <c r="AG3" t="s">
        <v>135</v>
      </c>
      <c r="AK3" t="s">
        <v>411</v>
      </c>
      <c r="AL3" s="40">
        <v>116</v>
      </c>
      <c r="AM3" s="40">
        <v>123.75</v>
      </c>
      <c r="AN3" s="40">
        <v>116</v>
      </c>
      <c r="AO3" s="40">
        <v>123.65</v>
      </c>
      <c r="AP3">
        <v>7.75</v>
      </c>
      <c r="AQ3">
        <v>6.69</v>
      </c>
      <c r="AR3">
        <v>412.77</v>
      </c>
      <c r="AS3" s="40">
        <v>502.79</v>
      </c>
      <c r="AT3" s="40">
        <v>123.75</v>
      </c>
      <c r="AU3" s="40">
        <v>78.099999999999994</v>
      </c>
      <c r="AV3">
        <v>36.1</v>
      </c>
      <c r="AW3">
        <v>4.04</v>
      </c>
      <c r="AX3">
        <v>-1.99</v>
      </c>
    </row>
    <row r="4" spans="1:50">
      <c r="A4" s="36"/>
      <c r="B4" s="32" t="s">
        <v>419</v>
      </c>
      <c r="C4" s="32"/>
      <c r="D4" s="32" t="s">
        <v>618</v>
      </c>
      <c r="E4" s="32"/>
      <c r="F4" s="32">
        <v>177</v>
      </c>
      <c r="G4" s="54" t="s">
        <v>493</v>
      </c>
      <c r="H4" s="55" t="s">
        <v>494</v>
      </c>
      <c r="I4" s="32">
        <f t="shared" si="0"/>
        <v>2191.5</v>
      </c>
      <c r="J4" s="32">
        <f t="shared" si="1"/>
        <v>2069.75</v>
      </c>
      <c r="K4" s="32">
        <f t="shared" si="1"/>
        <v>2678.5</v>
      </c>
      <c r="L4" s="32">
        <f t="shared" si="1"/>
        <v>2800.25</v>
      </c>
      <c r="M4" s="42">
        <v>44525</v>
      </c>
      <c r="N4" s="43" t="str">
        <f>VLOOKUP(TRIM($B4),Lots!$B:$F,2,0)</f>
        <v>TITAN</v>
      </c>
      <c r="O4" s="43">
        <v>2200</v>
      </c>
      <c r="P4" s="44">
        <f t="shared" si="9"/>
        <v>0.90349075975359339</v>
      </c>
      <c r="Q4" s="43" t="str">
        <f t="shared" si="10"/>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R4" s="43">
        <v>28.39</v>
      </c>
      <c r="S4" s="43">
        <v>116776</v>
      </c>
      <c r="T4" s="43">
        <v>1</v>
      </c>
      <c r="U4" s="43" t="e">
        <f t="shared" si="2"/>
        <v>#VALUE!</v>
      </c>
      <c r="V4" s="43">
        <f t="shared" si="3"/>
        <v>116776</v>
      </c>
      <c r="W4" s="43" t="e">
        <f t="shared" si="4"/>
        <v>#VALUE!</v>
      </c>
      <c r="X4" s="44" t="e">
        <f t="shared" si="5"/>
        <v>#VALUE!</v>
      </c>
      <c r="Y4" s="43">
        <f t="shared" ca="1" si="6"/>
        <v>1.8055555555555556</v>
      </c>
      <c r="Z4" s="43">
        <f t="shared" ca="1" si="7"/>
        <v>-659</v>
      </c>
      <c r="AA4" s="44" t="e">
        <f t="shared" ca="1" si="8"/>
        <v>#VALUE!</v>
      </c>
      <c r="AB4" s="33"/>
      <c r="AG4" t="s">
        <v>136</v>
      </c>
      <c r="AK4" t="s">
        <v>188</v>
      </c>
      <c r="AL4">
        <v>697</v>
      </c>
      <c r="AM4">
        <v>734.95</v>
      </c>
      <c r="AN4">
        <v>696.15</v>
      </c>
      <c r="AO4">
        <v>725.55</v>
      </c>
      <c r="AP4">
        <v>31.35</v>
      </c>
      <c r="AQ4">
        <v>4.5199999999999996</v>
      </c>
      <c r="AR4">
        <v>509.11</v>
      </c>
      <c r="AS4">
        <v>3669.19</v>
      </c>
      <c r="AT4">
        <v>734.95</v>
      </c>
      <c r="AU4">
        <v>394</v>
      </c>
      <c r="AV4">
        <v>53.04</v>
      </c>
      <c r="AW4">
        <v>14.43</v>
      </c>
      <c r="AX4">
        <v>8.9700000000000006</v>
      </c>
    </row>
    <row r="5" spans="1:50">
      <c r="A5" s="36"/>
      <c r="B5" s="32" t="s">
        <v>378</v>
      </c>
      <c r="C5" s="32" t="s">
        <v>624</v>
      </c>
      <c r="D5" s="32" t="s">
        <v>619</v>
      </c>
      <c r="E5" s="32"/>
      <c r="F5" s="32"/>
      <c r="G5" s="32" t="s">
        <v>496</v>
      </c>
      <c r="H5" s="32" t="s">
        <v>497</v>
      </c>
      <c r="I5" s="32">
        <f t="shared" si="0"/>
        <v>6115.5</v>
      </c>
      <c r="J5" s="32">
        <f t="shared" si="1"/>
        <v>5775.75</v>
      </c>
      <c r="K5" s="32">
        <f t="shared" si="1"/>
        <v>7474.5000000000009</v>
      </c>
      <c r="L5" s="32">
        <f t="shared" si="1"/>
        <v>7814.2499999999991</v>
      </c>
      <c r="M5" s="42">
        <v>44525</v>
      </c>
      <c r="N5" s="43" t="str">
        <f>VLOOKUP(TRIM($B5),Lots!$B:$F,2,0)</f>
        <v>LTI</v>
      </c>
      <c r="O5" s="43">
        <v>600</v>
      </c>
      <c r="P5" s="44">
        <f t="shared" si="9"/>
        <v>8.8300220750551883E-2</v>
      </c>
      <c r="Q5" s="43" t="str">
        <f t="shared" si="10"/>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R5" s="43">
        <v>39.409999999999997</v>
      </c>
      <c r="S5" s="43">
        <v>145115</v>
      </c>
      <c r="T5" s="43">
        <v>1</v>
      </c>
      <c r="U5" s="43" t="e">
        <f t="shared" si="2"/>
        <v>#VALUE!</v>
      </c>
      <c r="V5" s="43">
        <f t="shared" si="3"/>
        <v>145115</v>
      </c>
      <c r="W5" s="43" t="e">
        <f t="shared" si="4"/>
        <v>#VALUE!</v>
      </c>
      <c r="X5" s="44" t="e">
        <f t="shared" si="5"/>
        <v>#VALUE!</v>
      </c>
      <c r="Y5" s="43">
        <f t="shared" ca="1" si="6"/>
        <v>1.8055555555555556</v>
      </c>
      <c r="Z5" s="43">
        <f t="shared" ca="1" si="7"/>
        <v>-659</v>
      </c>
      <c r="AA5" s="44" t="e">
        <f t="shared" ca="1" si="8"/>
        <v>#VALUE!</v>
      </c>
      <c r="AB5" s="33"/>
      <c r="AK5" t="s">
        <v>101</v>
      </c>
      <c r="AL5">
        <v>155.5</v>
      </c>
      <c r="AM5">
        <v>162.25</v>
      </c>
      <c r="AN5">
        <v>154.25</v>
      </c>
      <c r="AO5">
        <v>161.25</v>
      </c>
      <c r="AP5">
        <v>6.55</v>
      </c>
      <c r="AQ5">
        <v>4.2300000000000004</v>
      </c>
      <c r="AR5">
        <v>221.03</v>
      </c>
      <c r="AS5">
        <v>351.45</v>
      </c>
      <c r="AT5">
        <v>165</v>
      </c>
      <c r="AU5">
        <v>109.55</v>
      </c>
      <c r="AV5">
        <v>29.05</v>
      </c>
      <c r="AW5">
        <v>13.56</v>
      </c>
      <c r="AX5">
        <v>7.62</v>
      </c>
    </row>
    <row r="6" spans="1:50">
      <c r="A6" s="36"/>
      <c r="B6" s="32" t="s">
        <v>486</v>
      </c>
      <c r="C6" s="45"/>
      <c r="D6" s="32" t="s">
        <v>620</v>
      </c>
      <c r="E6" s="32"/>
      <c r="F6" s="32"/>
      <c r="G6" s="32" t="s">
        <v>498</v>
      </c>
      <c r="H6" s="32" t="s">
        <v>499</v>
      </c>
      <c r="I6" s="32">
        <f t="shared" si="0"/>
        <v>5487.5250000000005</v>
      </c>
      <c r="J6" s="32">
        <f t="shared" si="1"/>
        <v>5182.6624999999995</v>
      </c>
      <c r="K6" s="32">
        <f t="shared" si="1"/>
        <v>6706.9750000000004</v>
      </c>
      <c r="L6" s="32">
        <f t="shared" si="1"/>
        <v>7011.8374999999996</v>
      </c>
      <c r="M6" s="42">
        <v>44525</v>
      </c>
      <c r="N6" s="43" t="e">
        <f>VLOOKUP(TRIM($B6),Lots!$B:$F,2,0)</f>
        <v>#N/A</v>
      </c>
      <c r="O6" s="43">
        <v>4400</v>
      </c>
      <c r="P6" s="44">
        <f t="shared" si="9"/>
        <v>0.72163680347697734</v>
      </c>
      <c r="Q6" s="43" t="str">
        <f t="shared" si="10"/>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R6" s="43">
        <v>29.34</v>
      </c>
      <c r="S6" s="43">
        <v>76077</v>
      </c>
      <c r="T6" s="43">
        <v>1</v>
      </c>
      <c r="U6" s="43" t="e">
        <f t="shared" si="2"/>
        <v>#VALUE!</v>
      </c>
      <c r="V6" s="43">
        <f t="shared" si="3"/>
        <v>76077</v>
      </c>
      <c r="W6" s="43" t="e">
        <f t="shared" si="4"/>
        <v>#N/A</v>
      </c>
      <c r="X6" s="44" t="e">
        <f t="shared" si="5"/>
        <v>#VALUE!</v>
      </c>
      <c r="Y6" s="43">
        <f t="shared" ca="1" si="6"/>
        <v>1.8055555555555556</v>
      </c>
      <c r="Z6" s="43">
        <f t="shared" ca="1" si="7"/>
        <v>-659</v>
      </c>
      <c r="AA6" s="44" t="e">
        <f t="shared" ca="1" si="8"/>
        <v>#VALUE!</v>
      </c>
      <c r="AB6" s="33"/>
      <c r="AG6" t="s">
        <v>137</v>
      </c>
      <c r="AK6" t="s">
        <v>412</v>
      </c>
      <c r="AL6" s="40">
        <v>124.25</v>
      </c>
      <c r="AM6" s="40">
        <v>130.69999999999999</v>
      </c>
      <c r="AN6" s="40">
        <v>124.25</v>
      </c>
      <c r="AO6" s="40">
        <v>128.94999999999999</v>
      </c>
      <c r="AP6">
        <v>5</v>
      </c>
      <c r="AQ6">
        <v>4.03</v>
      </c>
      <c r="AR6">
        <v>385.54</v>
      </c>
      <c r="AS6">
        <v>496.84</v>
      </c>
      <c r="AT6" s="40">
        <v>130.69999999999999</v>
      </c>
      <c r="AU6" s="40">
        <v>64.099999999999994</v>
      </c>
      <c r="AV6">
        <v>75.08</v>
      </c>
      <c r="AW6">
        <v>11.65</v>
      </c>
      <c r="AX6">
        <v>6.76</v>
      </c>
    </row>
    <row r="7" spans="1:50">
      <c r="A7" s="36"/>
      <c r="B7" s="32" t="s">
        <v>381</v>
      </c>
      <c r="C7" s="45"/>
      <c r="D7" s="32" t="s">
        <v>621</v>
      </c>
      <c r="E7" s="32"/>
      <c r="F7" s="32"/>
      <c r="G7" s="32" t="s">
        <v>498</v>
      </c>
      <c r="H7" s="32" t="s">
        <v>499</v>
      </c>
      <c r="I7" s="57">
        <f t="shared" si="0"/>
        <v>4220.0550000000003</v>
      </c>
      <c r="J7" s="57">
        <f t="shared" si="1"/>
        <v>3985.6074999999996</v>
      </c>
      <c r="K7" s="57">
        <f t="shared" si="1"/>
        <v>5157.8450000000003</v>
      </c>
      <c r="L7" s="57">
        <f t="shared" si="1"/>
        <v>5392.2924999999996</v>
      </c>
      <c r="M7" s="42">
        <v>44525</v>
      </c>
      <c r="N7" s="43" t="str">
        <f>VLOOKUP(TRIM($B7),Lots!$B:$F,2,0)</f>
        <v>MINDTREE</v>
      </c>
      <c r="O7" s="43">
        <v>4000</v>
      </c>
      <c r="P7" s="44">
        <f t="shared" si="9"/>
        <v>0.85306945051664018</v>
      </c>
      <c r="Q7" s="43" t="str">
        <f t="shared" si="10"/>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R7" s="43">
        <v>51</v>
      </c>
      <c r="S7" s="43">
        <v>143316</v>
      </c>
      <c r="T7" s="43">
        <v>1</v>
      </c>
      <c r="U7" s="43" t="e">
        <f>Q7*N7*T7</f>
        <v>#VALUE!</v>
      </c>
      <c r="V7" s="43">
        <f t="shared" si="3"/>
        <v>143316</v>
      </c>
      <c r="W7" s="43" t="e">
        <f t="shared" si="4"/>
        <v>#VALUE!</v>
      </c>
      <c r="X7" s="44" t="e">
        <f t="shared" si="5"/>
        <v>#VALUE!</v>
      </c>
      <c r="Y7" s="43">
        <f t="shared" ca="1" si="6"/>
        <v>1.8055555555555556</v>
      </c>
      <c r="Z7" s="43">
        <f t="shared" ca="1" si="7"/>
        <v>-659</v>
      </c>
      <c r="AA7" s="44" t="e">
        <f t="shared" ca="1" si="8"/>
        <v>#VALUE!</v>
      </c>
      <c r="AB7" s="33"/>
      <c r="AG7" t="s">
        <v>138</v>
      </c>
      <c r="AK7" t="s">
        <v>419</v>
      </c>
      <c r="AL7" s="40">
        <v>2060</v>
      </c>
      <c r="AM7" s="40">
        <v>2133</v>
      </c>
      <c r="AN7" s="40">
        <v>2060</v>
      </c>
      <c r="AO7" s="40">
        <v>2123</v>
      </c>
      <c r="AP7">
        <v>67.3</v>
      </c>
      <c r="AQ7">
        <v>3.27</v>
      </c>
      <c r="AR7">
        <v>25.33</v>
      </c>
      <c r="AS7">
        <v>535.33000000000004</v>
      </c>
      <c r="AT7" s="40">
        <v>2133</v>
      </c>
      <c r="AU7" s="40">
        <v>1076</v>
      </c>
      <c r="AV7">
        <v>78.7</v>
      </c>
      <c r="AW7">
        <v>15.56</v>
      </c>
      <c r="AX7">
        <v>11.85</v>
      </c>
    </row>
    <row r="8" spans="1:50">
      <c r="A8" s="36"/>
      <c r="B8" s="32" t="s">
        <v>616</v>
      </c>
      <c r="C8" s="32" t="s">
        <v>624</v>
      </c>
      <c r="D8" t="s">
        <v>622</v>
      </c>
      <c r="G8" s="32" t="s">
        <v>498</v>
      </c>
      <c r="H8" s="32" t="s">
        <v>499</v>
      </c>
      <c r="I8" s="57">
        <f t="shared" si="0"/>
        <v>6174</v>
      </c>
      <c r="J8" s="57">
        <f t="shared" si="1"/>
        <v>5831</v>
      </c>
      <c r="K8" s="57">
        <f t="shared" si="1"/>
        <v>7546.0000000000009</v>
      </c>
      <c r="L8" s="57">
        <f t="shared" si="1"/>
        <v>7888.9999999999991</v>
      </c>
      <c r="M8" s="42">
        <v>44525</v>
      </c>
      <c r="N8" s="43" t="e">
        <f>VLOOKUP(TRIM($B8),Lots!$B:$F,2,0)</f>
        <v>#N/A</v>
      </c>
      <c r="O8" s="43">
        <v>4650</v>
      </c>
      <c r="P8" s="44">
        <f t="shared" ref="P8:P9" si="11">O8/D8</f>
        <v>0.67784256559766765</v>
      </c>
      <c r="Q8" s="43" t="str">
        <f t="shared" si="10"/>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394, in getStockOptionQuote
    quote = mu.getStockOptionQuote(symbol,expiry,strike,opt_type)
  File "g:\mrig analytics\mriganalytics\interface\pyxcel.py", line 110, in mrigxl_getStockOptionQuote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R8" s="43">
        <v>29.34</v>
      </c>
      <c r="S8" s="43">
        <v>82682.720000000001</v>
      </c>
      <c r="T8" s="43">
        <v>1</v>
      </c>
      <c r="U8" s="43" t="e">
        <f t="shared" ref="U8:U9" si="12">Q8*N8*T8</f>
        <v>#VALUE!</v>
      </c>
      <c r="V8" s="43">
        <f t="shared" ref="V8:V9" si="13">S8*T8</f>
        <v>82682.720000000001</v>
      </c>
      <c r="W8" s="43" t="e">
        <f t="shared" ref="W8:W9" si="14">N8*O8*T8</f>
        <v>#N/A</v>
      </c>
      <c r="X8" s="44" t="e">
        <f t="shared" ref="X8:X9" si="15">Q8*N8/S8</f>
        <v>#VALUE!</v>
      </c>
      <c r="Y8" s="43">
        <f t="shared" ref="Y8:Y9" ca="1" si="16">YEARFRAC($A$1,M8)</f>
        <v>1.8055555555555556</v>
      </c>
      <c r="Z8" s="43">
        <f t="shared" ref="Z8:Z9" ca="1" si="17">M8-$A$1</f>
        <v>-659</v>
      </c>
      <c r="AA8" s="44" t="e">
        <f t="shared" ref="AA8:AA9" ca="1" si="18">X8/Y8</f>
        <v>#VALUE!</v>
      </c>
      <c r="AB8" s="33"/>
      <c r="AG8" t="s">
        <v>139</v>
      </c>
      <c r="AK8" t="s">
        <v>387</v>
      </c>
      <c r="AL8" s="40">
        <v>1238.6500000000001</v>
      </c>
      <c r="AM8" s="40">
        <v>1288.95</v>
      </c>
      <c r="AN8" s="40">
        <v>1230.25</v>
      </c>
      <c r="AO8" s="40">
        <v>1274.9000000000001</v>
      </c>
      <c r="AP8">
        <v>36.25</v>
      </c>
      <c r="AQ8">
        <v>2.93</v>
      </c>
      <c r="AR8">
        <v>54.11</v>
      </c>
      <c r="AS8">
        <v>683.43</v>
      </c>
      <c r="AT8" s="40">
        <v>1288.95</v>
      </c>
      <c r="AU8" s="40">
        <v>744.15</v>
      </c>
      <c r="AV8">
        <v>60.37</v>
      </c>
      <c r="AW8">
        <v>13.46</v>
      </c>
      <c r="AX8">
        <v>10.65</v>
      </c>
    </row>
    <row r="9" spans="1:50">
      <c r="A9" s="36"/>
      <c r="B9" s="32" t="s">
        <v>615</v>
      </c>
      <c r="C9" s="32" t="s">
        <v>624</v>
      </c>
      <c r="D9" t="s">
        <v>623</v>
      </c>
      <c r="G9" s="32" t="s">
        <v>498</v>
      </c>
      <c r="H9" s="32" t="s">
        <v>499</v>
      </c>
      <c r="I9" s="57" t="e">
        <f t="shared" si="0"/>
        <v>#VALUE!</v>
      </c>
      <c r="J9" s="57" t="e">
        <f t="shared" si="1"/>
        <v>#VALUE!</v>
      </c>
      <c r="K9" s="57" t="e">
        <f t="shared" si="1"/>
        <v>#VALUE!</v>
      </c>
      <c r="L9" s="57" t="e">
        <f t="shared" si="1"/>
        <v>#VALUE!</v>
      </c>
      <c r="M9" s="42">
        <v>44525</v>
      </c>
      <c r="N9" s="43" t="e">
        <f>VLOOKUP(TRIM($B9),Lots!$B:$F,2,0)</f>
        <v>#N/A</v>
      </c>
      <c r="O9" s="43">
        <v>4650</v>
      </c>
      <c r="P9" s="44" t="e">
        <f t="shared" si="11"/>
        <v>#VALUE!</v>
      </c>
      <c r="Q9" s="43" t="str">
        <f t="shared" si="10"/>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R9" s="43">
        <v>29.34</v>
      </c>
      <c r="S9" s="43">
        <v>82682.720000000001</v>
      </c>
      <c r="T9" s="43">
        <v>1</v>
      </c>
      <c r="U9" s="43" t="e">
        <f t="shared" si="12"/>
        <v>#VALUE!</v>
      </c>
      <c r="V9" s="43">
        <f t="shared" si="13"/>
        <v>82682.720000000001</v>
      </c>
      <c r="W9" s="43" t="e">
        <f t="shared" si="14"/>
        <v>#N/A</v>
      </c>
      <c r="X9" s="44" t="e">
        <f t="shared" si="15"/>
        <v>#VALUE!</v>
      </c>
      <c r="Y9" s="43">
        <f t="shared" ca="1" si="16"/>
        <v>1.8055555555555556</v>
      </c>
      <c r="Z9" s="43">
        <f t="shared" ca="1" si="17"/>
        <v>-659</v>
      </c>
      <c r="AA9" s="44" t="e">
        <f t="shared" ca="1" si="18"/>
        <v>#VALUE!</v>
      </c>
      <c r="AB9" s="33"/>
      <c r="AK9" t="s">
        <v>108</v>
      </c>
      <c r="AL9">
        <v>433</v>
      </c>
      <c r="AM9">
        <v>444.9</v>
      </c>
      <c r="AN9">
        <v>431.45</v>
      </c>
      <c r="AO9">
        <v>444.5</v>
      </c>
      <c r="AP9">
        <v>11.5</v>
      </c>
      <c r="AQ9">
        <v>2.66</v>
      </c>
      <c r="AR9">
        <v>181.99</v>
      </c>
      <c r="AS9">
        <v>797.97</v>
      </c>
      <c r="AT9">
        <v>467.45</v>
      </c>
      <c r="AU9">
        <v>175.5</v>
      </c>
      <c r="AV9">
        <v>123.93</v>
      </c>
      <c r="AW9">
        <v>4.63</v>
      </c>
      <c r="AX9">
        <v>0.42</v>
      </c>
    </row>
    <row r="10" spans="1:50">
      <c r="A10" s="36"/>
      <c r="I10" s="7"/>
      <c r="J10" s="7"/>
      <c r="K10" s="7"/>
      <c r="L10" s="7"/>
      <c r="M10" s="7"/>
      <c r="N10" s="33"/>
      <c r="O10" s="33"/>
      <c r="P10" s="33"/>
      <c r="Q10" s="33"/>
      <c r="R10" s="33"/>
      <c r="S10" s="33"/>
      <c r="T10" s="33"/>
      <c r="U10" s="33"/>
      <c r="V10" s="33"/>
      <c r="W10" s="33"/>
      <c r="Y10" s="33"/>
      <c r="Z10" s="33"/>
      <c r="AB10" s="33"/>
      <c r="AG10" t="s">
        <v>140</v>
      </c>
      <c r="AK10" t="s">
        <v>384</v>
      </c>
      <c r="AL10" s="40">
        <v>174</v>
      </c>
      <c r="AM10" s="40">
        <v>179</v>
      </c>
      <c r="AN10" s="40">
        <v>173.75</v>
      </c>
      <c r="AO10" s="40">
        <v>177.95</v>
      </c>
      <c r="AP10">
        <v>3.85</v>
      </c>
      <c r="AQ10">
        <v>2.21</v>
      </c>
      <c r="AR10">
        <v>126.27</v>
      </c>
      <c r="AS10">
        <v>224.16</v>
      </c>
      <c r="AT10" s="40">
        <v>188.63</v>
      </c>
      <c r="AU10" s="40">
        <v>115.95</v>
      </c>
      <c r="AV10">
        <v>3.76</v>
      </c>
      <c r="AW10">
        <v>-1.52</v>
      </c>
      <c r="AX10">
        <v>-5.76</v>
      </c>
    </row>
    <row r="11" spans="1:50">
      <c r="A11" s="36"/>
      <c r="I11" s="7"/>
      <c r="J11" s="7"/>
      <c r="K11" s="7"/>
      <c r="L11" s="7"/>
      <c r="M11" s="7"/>
      <c r="N11" s="33"/>
      <c r="O11" s="33"/>
      <c r="P11" s="33"/>
      <c r="Q11" s="33"/>
      <c r="R11" s="33"/>
      <c r="S11" s="33"/>
      <c r="T11" s="33"/>
      <c r="U11" s="33"/>
      <c r="V11" s="33"/>
      <c r="W11" s="33"/>
      <c r="Y11" s="33"/>
      <c r="Z11" s="33"/>
      <c r="AB11" s="33"/>
      <c r="AC11" s="39"/>
      <c r="AK11" t="s">
        <v>105</v>
      </c>
      <c r="AL11" s="40">
        <v>1036</v>
      </c>
      <c r="AM11" s="40">
        <v>1059.8</v>
      </c>
      <c r="AN11" s="40">
        <v>1027.5</v>
      </c>
      <c r="AO11" s="40">
        <v>1057.45</v>
      </c>
      <c r="AP11">
        <v>20.85</v>
      </c>
      <c r="AQ11">
        <v>2.0099999999999998</v>
      </c>
      <c r="AR11">
        <v>52.97</v>
      </c>
      <c r="AS11">
        <v>552.9</v>
      </c>
      <c r="AT11" s="40">
        <v>1119.5</v>
      </c>
      <c r="AU11" s="40">
        <v>485</v>
      </c>
      <c r="AV11">
        <v>73.540000000000006</v>
      </c>
      <c r="AW11">
        <v>3.77</v>
      </c>
      <c r="AX11">
        <v>1.22</v>
      </c>
    </row>
    <row r="12" spans="1:50">
      <c r="A12" s="36"/>
      <c r="I12" s="7"/>
      <c r="J12" s="7"/>
      <c r="K12" s="7"/>
      <c r="L12" s="7"/>
      <c r="M12" s="7"/>
      <c r="N12" s="33"/>
      <c r="O12" s="33"/>
      <c r="P12" s="33"/>
      <c r="Q12" s="33"/>
      <c r="R12" s="33"/>
      <c r="S12" s="33"/>
      <c r="T12" s="33"/>
      <c r="U12" s="33"/>
      <c r="V12" s="33"/>
      <c r="W12" s="33"/>
      <c r="Y12" s="33"/>
      <c r="Z12" s="33"/>
      <c r="AB12" s="33"/>
      <c r="AC12" s="39"/>
      <c r="AG12" t="s">
        <v>141</v>
      </c>
      <c r="AK12" t="s">
        <v>284</v>
      </c>
      <c r="AL12" s="40">
        <v>306.10000000000002</v>
      </c>
      <c r="AM12" s="40">
        <v>312.45</v>
      </c>
      <c r="AN12" s="40">
        <v>306.10000000000002</v>
      </c>
      <c r="AO12" s="40">
        <v>312.2</v>
      </c>
      <c r="AP12">
        <v>6.1</v>
      </c>
      <c r="AQ12">
        <v>1.99</v>
      </c>
      <c r="AR12">
        <v>211.6</v>
      </c>
      <c r="AS12">
        <v>653.37</v>
      </c>
      <c r="AT12" s="40">
        <v>360.75</v>
      </c>
      <c r="AU12" s="40">
        <v>122.15</v>
      </c>
      <c r="AV12">
        <v>110.16</v>
      </c>
      <c r="AW12">
        <v>2.8</v>
      </c>
      <c r="AX12">
        <v>-0.37</v>
      </c>
    </row>
    <row r="13" spans="1:50">
      <c r="A13" s="36"/>
      <c r="I13" s="7"/>
      <c r="J13" s="7"/>
      <c r="K13" s="7"/>
      <c r="L13" s="7"/>
      <c r="M13" s="7"/>
      <c r="N13" s="33"/>
      <c r="O13" s="33"/>
      <c r="P13" s="33"/>
      <c r="Q13" s="33"/>
      <c r="R13" s="33"/>
      <c r="S13" s="33"/>
      <c r="T13" s="33"/>
      <c r="U13" s="33"/>
      <c r="V13" s="33"/>
      <c r="W13" s="33"/>
      <c r="Y13" s="33"/>
      <c r="Z13" s="33"/>
      <c r="AB13" s="33"/>
      <c r="AC13" s="39"/>
      <c r="AG13" t="s">
        <v>142</v>
      </c>
      <c r="AK13" t="s">
        <v>90</v>
      </c>
      <c r="AL13" s="40">
        <v>3882.1</v>
      </c>
      <c r="AM13" s="40">
        <v>3980</v>
      </c>
      <c r="AN13" s="40">
        <v>3866</v>
      </c>
      <c r="AO13" s="40">
        <v>3950</v>
      </c>
      <c r="AP13">
        <v>64.099999999999994</v>
      </c>
      <c r="AQ13">
        <v>1.65</v>
      </c>
      <c r="AR13">
        <v>21.45</v>
      </c>
      <c r="AS13" s="40">
        <v>842.22</v>
      </c>
      <c r="AT13" s="40">
        <v>3980</v>
      </c>
      <c r="AU13">
        <v>2302.6</v>
      </c>
      <c r="AV13">
        <v>58.55</v>
      </c>
      <c r="AW13">
        <v>13.74</v>
      </c>
      <c r="AX13">
        <v>12.2</v>
      </c>
    </row>
    <row r="14" spans="1:50">
      <c r="A14" s="36"/>
      <c r="I14" s="7"/>
      <c r="J14" s="7"/>
      <c r="K14" s="7"/>
      <c r="L14" s="7"/>
      <c r="M14" s="7"/>
      <c r="N14" s="33"/>
      <c r="O14" s="33"/>
      <c r="P14" s="33"/>
      <c r="Q14" s="33"/>
      <c r="R14" s="33"/>
      <c r="S14" s="33"/>
      <c r="T14" s="33"/>
      <c r="U14" s="33"/>
      <c r="V14" s="33"/>
      <c r="W14" s="33"/>
      <c r="Y14" s="33"/>
      <c r="Z14" s="33"/>
      <c r="AB14" s="33"/>
      <c r="AC14" s="39"/>
      <c r="AG14" t="s">
        <v>143</v>
      </c>
      <c r="AK14" t="s">
        <v>93</v>
      </c>
      <c r="AL14" s="40">
        <v>478.2</v>
      </c>
      <c r="AM14" s="40">
        <v>487.4</v>
      </c>
      <c r="AN14" s="40">
        <v>474.35</v>
      </c>
      <c r="AO14" s="40">
        <v>485.45</v>
      </c>
      <c r="AP14">
        <v>7.5</v>
      </c>
      <c r="AQ14">
        <v>1.57</v>
      </c>
      <c r="AR14">
        <v>110.68</v>
      </c>
      <c r="AS14">
        <v>532.1</v>
      </c>
      <c r="AT14" s="40">
        <v>487.4</v>
      </c>
      <c r="AU14" s="40">
        <v>154.4</v>
      </c>
      <c r="AV14">
        <v>176.14</v>
      </c>
      <c r="AW14">
        <v>9.89</v>
      </c>
      <c r="AX14">
        <v>8.1199999999999992</v>
      </c>
    </row>
    <row r="15" spans="1:50">
      <c r="A15" s="36"/>
      <c r="I15" s="7"/>
      <c r="J15" s="7"/>
      <c r="K15" s="7"/>
      <c r="L15" s="7"/>
      <c r="M15" s="7"/>
      <c r="N15" s="33"/>
      <c r="O15" s="33"/>
      <c r="P15" s="33"/>
      <c r="Q15" s="33"/>
      <c r="R15" s="33"/>
      <c r="S15" s="33"/>
      <c r="T15" s="33"/>
      <c r="U15" s="33"/>
      <c r="V15" s="33"/>
      <c r="W15" s="33"/>
      <c r="Y15" s="33"/>
      <c r="Z15" s="33"/>
      <c r="AB15" s="33"/>
      <c r="AC15" s="39"/>
      <c r="AG15" t="s">
        <v>144</v>
      </c>
      <c r="AK15" t="s">
        <v>157</v>
      </c>
      <c r="AL15" s="40">
        <v>758.55</v>
      </c>
      <c r="AM15" s="40">
        <v>769.8</v>
      </c>
      <c r="AN15" s="40">
        <v>753.6</v>
      </c>
      <c r="AO15" s="40">
        <v>766.75</v>
      </c>
      <c r="AP15">
        <v>11.35</v>
      </c>
      <c r="AQ15">
        <v>1.5</v>
      </c>
      <c r="AR15">
        <v>60.95</v>
      </c>
      <c r="AS15">
        <v>465.02</v>
      </c>
      <c r="AT15" s="40">
        <v>901</v>
      </c>
      <c r="AU15" s="40">
        <v>312.10000000000002</v>
      </c>
      <c r="AV15">
        <v>118.04</v>
      </c>
      <c r="AW15">
        <v>8.4700000000000006</v>
      </c>
      <c r="AX15">
        <v>7.28</v>
      </c>
    </row>
    <row r="16" spans="1:50">
      <c r="A16" s="36"/>
      <c r="I16" s="7"/>
      <c r="J16" s="7"/>
      <c r="K16" s="7"/>
      <c r="L16" s="7"/>
      <c r="M16" s="7"/>
      <c r="N16" s="33"/>
      <c r="O16" s="33"/>
      <c r="P16" s="33"/>
      <c r="Q16" s="33"/>
      <c r="R16" s="33"/>
      <c r="S16" s="33"/>
      <c r="T16" s="33"/>
      <c r="U16" s="33"/>
      <c r="V16" s="33"/>
      <c r="W16" s="33"/>
      <c r="Y16" s="33"/>
      <c r="Z16" s="33"/>
      <c r="AB16" s="33"/>
      <c r="AC16" s="39"/>
      <c r="AG16" t="s">
        <v>145</v>
      </c>
      <c r="AK16" t="s">
        <v>94</v>
      </c>
      <c r="AL16">
        <v>1693.25</v>
      </c>
      <c r="AM16">
        <v>1715.1</v>
      </c>
      <c r="AN16">
        <v>1690.2</v>
      </c>
      <c r="AO16">
        <v>1710.6</v>
      </c>
      <c r="AP16">
        <v>24.45</v>
      </c>
      <c r="AQ16">
        <v>1.45</v>
      </c>
      <c r="AR16">
        <v>34.69</v>
      </c>
      <c r="AS16">
        <v>591.04999999999995</v>
      </c>
      <c r="AT16">
        <v>1757</v>
      </c>
      <c r="AU16">
        <v>948.3</v>
      </c>
      <c r="AV16">
        <v>74.84</v>
      </c>
      <c r="AW16">
        <v>0.36</v>
      </c>
      <c r="AX16">
        <v>-1.52</v>
      </c>
    </row>
    <row r="17" spans="1:50">
      <c r="A17">
        <v>1</v>
      </c>
      <c r="I17">
        <f>$D17*(1+I$1)</f>
        <v>0</v>
      </c>
      <c r="J17">
        <f t="shared" ref="J17:L36" si="19">$D17*(1+J$1)</f>
        <v>0</v>
      </c>
      <c r="K17">
        <f t="shared" si="19"/>
        <v>0</v>
      </c>
      <c r="L17">
        <f t="shared" si="19"/>
        <v>0</v>
      </c>
      <c r="M17" s="35">
        <v>44497</v>
      </c>
      <c r="N17" s="33" t="e">
        <f>VLOOKUP(TRIM($B17),Lots!$B:$F,2,0)</f>
        <v>#N/A</v>
      </c>
      <c r="O17" s="33"/>
      <c r="P17" s="33"/>
      <c r="Q17" s="33"/>
      <c r="R17" s="33"/>
      <c r="S17" s="33">
        <v>-1</v>
      </c>
      <c r="T17" s="33">
        <v>0</v>
      </c>
      <c r="U17" s="33" t="e">
        <f t="shared" ref="U17:U36" si="20">Q17*N17*T17</f>
        <v>#N/A</v>
      </c>
      <c r="V17" s="33">
        <f t="shared" ref="V17:V36" si="21">S17*T17</f>
        <v>0</v>
      </c>
      <c r="W17" s="33" t="e">
        <f t="shared" ref="W17:W36" si="22">N17*O17*T17</f>
        <v>#N/A</v>
      </c>
      <c r="X17" s="34" t="e">
        <f t="shared" ref="X17:X36" si="23">Q17*N17/S17</f>
        <v>#N/A</v>
      </c>
      <c r="Y17" s="33">
        <f t="shared" ref="Y17:Y37" ca="1" si="24">YEARFRAC($A$1,M17)</f>
        <v>1.8805555555555555</v>
      </c>
      <c r="Z17" s="33">
        <f ca="1">M17-$A$1</f>
        <v>-687</v>
      </c>
      <c r="AA17" s="34" t="e">
        <f t="shared" ref="AA17:AA22" ca="1" si="25">X17/Y17</f>
        <v>#N/A</v>
      </c>
      <c r="AC17" s="39"/>
      <c r="AG17" t="s">
        <v>146</v>
      </c>
      <c r="AK17" t="s">
        <v>456</v>
      </c>
      <c r="AL17" s="40">
        <v>756.8</v>
      </c>
      <c r="AM17" s="40">
        <v>763.6</v>
      </c>
      <c r="AN17" s="40">
        <v>752.6</v>
      </c>
      <c r="AO17" s="40">
        <v>762.5</v>
      </c>
      <c r="AP17">
        <v>10</v>
      </c>
      <c r="AQ17">
        <v>1.33</v>
      </c>
      <c r="AR17">
        <v>9.49</v>
      </c>
      <c r="AS17">
        <v>71.790000000000006</v>
      </c>
      <c r="AT17" s="40">
        <v>864.7</v>
      </c>
      <c r="AU17" s="40">
        <v>399</v>
      </c>
      <c r="AV17">
        <v>47.8</v>
      </c>
      <c r="AW17">
        <v>-1.33</v>
      </c>
      <c r="AX17">
        <v>-3.41</v>
      </c>
    </row>
    <row r="18" spans="1:50">
      <c r="A18">
        <v>2</v>
      </c>
      <c r="D18">
        <v>686</v>
      </c>
      <c r="G18" t="s">
        <v>496</v>
      </c>
      <c r="H18" t="s">
        <v>497</v>
      </c>
      <c r="I18">
        <f t="shared" ref="I18:I36" si="26">$D18*(1+I$1)</f>
        <v>617.4</v>
      </c>
      <c r="J18">
        <f t="shared" si="19"/>
        <v>583.1</v>
      </c>
      <c r="K18">
        <f t="shared" si="19"/>
        <v>754.6</v>
      </c>
      <c r="L18">
        <f t="shared" si="19"/>
        <v>788.9</v>
      </c>
      <c r="M18" s="35">
        <v>44497</v>
      </c>
      <c r="N18" s="33" t="e">
        <f>VLOOKUP(TRIM($B18),Lots!$B:$F,2,0)</f>
        <v>#N/A</v>
      </c>
      <c r="O18" s="33">
        <v>600</v>
      </c>
      <c r="P18" s="33"/>
      <c r="Q18" s="33">
        <v>7.9</v>
      </c>
      <c r="R18" s="33">
        <v>39.409999999999997</v>
      </c>
      <c r="S18" s="33">
        <v>144763</v>
      </c>
      <c r="T18" s="33">
        <v>1</v>
      </c>
      <c r="U18" s="33" t="e">
        <f t="shared" si="20"/>
        <v>#N/A</v>
      </c>
      <c r="V18" s="33">
        <f t="shared" si="21"/>
        <v>144763</v>
      </c>
      <c r="W18" s="33" t="e">
        <f t="shared" si="22"/>
        <v>#N/A</v>
      </c>
      <c r="X18" s="34" t="e">
        <f t="shared" si="23"/>
        <v>#N/A</v>
      </c>
      <c r="Y18" s="33">
        <f t="shared" ca="1" si="24"/>
        <v>1.8805555555555555</v>
      </c>
      <c r="Z18" s="33">
        <f t="shared" ref="Z18:Z58" ca="1" si="27">M18-$A$1</f>
        <v>-687</v>
      </c>
      <c r="AA18" s="37" t="e">
        <f t="shared" ca="1" si="25"/>
        <v>#N/A</v>
      </c>
      <c r="AC18" s="39"/>
      <c r="AG18" t="s">
        <v>147</v>
      </c>
      <c r="AK18" t="s">
        <v>399</v>
      </c>
      <c r="AL18" s="40">
        <v>1700</v>
      </c>
      <c r="AM18" s="40">
        <v>1724.6</v>
      </c>
      <c r="AN18" s="40">
        <v>1697</v>
      </c>
      <c r="AO18" s="40">
        <v>1718.1</v>
      </c>
      <c r="AP18">
        <v>21.65</v>
      </c>
      <c r="AQ18">
        <v>1.28</v>
      </c>
      <c r="AR18">
        <v>24.19</v>
      </c>
      <c r="AS18">
        <v>414.79</v>
      </c>
      <c r="AT18" s="40">
        <v>1724.6</v>
      </c>
      <c r="AU18">
        <v>843</v>
      </c>
      <c r="AV18">
        <v>90.46</v>
      </c>
      <c r="AW18">
        <v>3.74</v>
      </c>
      <c r="AX18">
        <v>1.68</v>
      </c>
    </row>
    <row r="19" spans="1:50">
      <c r="A19">
        <v>3</v>
      </c>
      <c r="B19" s="32"/>
      <c r="C19" s="45"/>
      <c r="D19" s="32">
        <v>4903.8999999999996</v>
      </c>
      <c r="E19" s="32"/>
      <c r="F19" s="32"/>
      <c r="G19" s="32"/>
      <c r="H19" s="32"/>
      <c r="I19" s="32">
        <f t="shared" si="26"/>
        <v>4413.51</v>
      </c>
      <c r="J19" s="32">
        <f t="shared" si="19"/>
        <v>4168.3149999999996</v>
      </c>
      <c r="K19" s="32">
        <f t="shared" si="19"/>
        <v>5394.29</v>
      </c>
      <c r="L19" s="32">
        <f t="shared" si="19"/>
        <v>5639.4849999999988</v>
      </c>
      <c r="M19" s="42">
        <v>44497</v>
      </c>
      <c r="N19" s="43" t="e">
        <f>VLOOKUP(TRIM($B19),Lots!$B:$F,2,0)</f>
        <v>#N/A</v>
      </c>
      <c r="O19" s="43">
        <v>4400</v>
      </c>
      <c r="P19" s="43"/>
      <c r="Q19" s="43">
        <v>40</v>
      </c>
      <c r="R19" s="43">
        <v>0</v>
      </c>
      <c r="S19" s="43">
        <v>75855</v>
      </c>
      <c r="T19" s="43">
        <v>1</v>
      </c>
      <c r="U19" s="43" t="e">
        <f t="shared" si="20"/>
        <v>#N/A</v>
      </c>
      <c r="V19" s="43">
        <f t="shared" si="21"/>
        <v>75855</v>
      </c>
      <c r="W19" s="43" t="e">
        <f t="shared" si="22"/>
        <v>#N/A</v>
      </c>
      <c r="X19" s="44" t="e">
        <f t="shared" si="23"/>
        <v>#N/A</v>
      </c>
      <c r="Y19" s="43">
        <f t="shared" ca="1" si="24"/>
        <v>1.8805555555555555</v>
      </c>
      <c r="Z19" s="43">
        <f t="shared" ca="1" si="27"/>
        <v>-687</v>
      </c>
      <c r="AA19" s="44" t="e">
        <f t="shared" ca="1" si="25"/>
        <v>#N/A</v>
      </c>
      <c r="AC19" s="39"/>
      <c r="AK19" t="s">
        <v>421</v>
      </c>
      <c r="AL19">
        <v>5122.95</v>
      </c>
      <c r="AM19">
        <v>5152.5</v>
      </c>
      <c r="AN19">
        <v>5090.1000000000004</v>
      </c>
      <c r="AO19">
        <v>5147.8999999999996</v>
      </c>
      <c r="AP19">
        <v>53.05</v>
      </c>
      <c r="AQ19">
        <v>1.04</v>
      </c>
      <c r="AR19">
        <v>2.79</v>
      </c>
      <c r="AS19">
        <v>142.76</v>
      </c>
      <c r="AT19">
        <v>5271.65</v>
      </c>
      <c r="AU19">
        <v>2985</v>
      </c>
      <c r="AV19">
        <v>62.66</v>
      </c>
      <c r="AW19">
        <v>5.08</v>
      </c>
      <c r="AX19">
        <v>2.95</v>
      </c>
    </row>
    <row r="20" spans="1:50">
      <c r="A20">
        <v>4</v>
      </c>
      <c r="D20">
        <v>800.6</v>
      </c>
      <c r="I20">
        <f t="shared" si="26"/>
        <v>720.54000000000008</v>
      </c>
      <c r="J20">
        <f t="shared" si="19"/>
        <v>680.51</v>
      </c>
      <c r="K20">
        <f t="shared" si="19"/>
        <v>880.66000000000008</v>
      </c>
      <c r="L20">
        <f t="shared" si="19"/>
        <v>920.68999999999994</v>
      </c>
      <c r="M20" s="35">
        <v>44497</v>
      </c>
      <c r="N20" s="33" t="e">
        <f>VLOOKUP(TRIM($B20),Lots!$B:$F,2,0)</f>
        <v>#N/A</v>
      </c>
      <c r="O20" s="33"/>
      <c r="P20" s="33"/>
      <c r="Q20" s="33"/>
      <c r="R20" s="33"/>
      <c r="S20" s="33">
        <v>-1</v>
      </c>
      <c r="T20" s="33">
        <v>0</v>
      </c>
      <c r="U20" s="33" t="e">
        <f t="shared" si="20"/>
        <v>#N/A</v>
      </c>
      <c r="V20" s="33">
        <f t="shared" si="21"/>
        <v>0</v>
      </c>
      <c r="W20" s="33" t="e">
        <f t="shared" si="22"/>
        <v>#N/A</v>
      </c>
      <c r="X20" s="34" t="e">
        <f t="shared" si="23"/>
        <v>#N/A</v>
      </c>
      <c r="Y20" s="33">
        <f t="shared" ca="1" si="24"/>
        <v>1.8805555555555555</v>
      </c>
      <c r="Z20" s="33">
        <f t="shared" ca="1" si="27"/>
        <v>-687</v>
      </c>
      <c r="AA20" s="34" t="e">
        <f t="shared" ca="1" si="25"/>
        <v>#N/A</v>
      </c>
      <c r="AC20" s="39"/>
      <c r="AK20" t="s">
        <v>102</v>
      </c>
      <c r="AL20" s="40">
        <v>707.1</v>
      </c>
      <c r="AM20" s="40">
        <v>716</v>
      </c>
      <c r="AN20" s="40">
        <v>706.3</v>
      </c>
      <c r="AO20" s="40">
        <v>714.3</v>
      </c>
      <c r="AP20">
        <v>6.85</v>
      </c>
      <c r="AQ20">
        <v>0.97</v>
      </c>
      <c r="AR20">
        <v>49.54</v>
      </c>
      <c r="AS20">
        <v>351.82</v>
      </c>
      <c r="AT20" s="40">
        <v>734.8</v>
      </c>
      <c r="AU20">
        <v>333.75</v>
      </c>
      <c r="AV20">
        <v>96.4</v>
      </c>
      <c r="AW20">
        <v>1.66</v>
      </c>
      <c r="AX20">
        <v>2.87</v>
      </c>
    </row>
    <row r="21" spans="1:50">
      <c r="A21">
        <v>5</v>
      </c>
      <c r="D21">
        <v>981.65</v>
      </c>
      <c r="I21">
        <f t="shared" si="26"/>
        <v>883.48500000000001</v>
      </c>
      <c r="J21">
        <f t="shared" si="19"/>
        <v>834.40249999999992</v>
      </c>
      <c r="K21">
        <f t="shared" si="19"/>
        <v>1079.8150000000001</v>
      </c>
      <c r="L21">
        <f t="shared" si="19"/>
        <v>1128.8974999999998</v>
      </c>
      <c r="M21" s="35">
        <v>44497</v>
      </c>
      <c r="N21" s="33" t="e">
        <f>VLOOKUP(TRIM($B21),Lots!$B:$F,2,0)</f>
        <v>#N/A</v>
      </c>
      <c r="O21" s="33">
        <v>860</v>
      </c>
      <c r="P21" s="33"/>
      <c r="Q21" s="33">
        <v>5</v>
      </c>
      <c r="R21" s="33">
        <v>0</v>
      </c>
      <c r="S21" s="33">
        <v>116757</v>
      </c>
      <c r="T21" s="33">
        <v>1</v>
      </c>
      <c r="U21" s="33" t="e">
        <f t="shared" si="20"/>
        <v>#N/A</v>
      </c>
      <c r="V21" s="33">
        <f t="shared" si="21"/>
        <v>116757</v>
      </c>
      <c r="W21" s="33" t="e">
        <f t="shared" si="22"/>
        <v>#N/A</v>
      </c>
      <c r="X21" s="34" t="e">
        <f t="shared" si="23"/>
        <v>#N/A</v>
      </c>
      <c r="Y21" s="33">
        <f t="shared" ca="1" si="24"/>
        <v>1.8805555555555555</v>
      </c>
      <c r="Z21" s="33">
        <f t="shared" ca="1" si="27"/>
        <v>-687</v>
      </c>
      <c r="AA21" s="34" t="e">
        <f t="shared" ca="1" si="25"/>
        <v>#N/A</v>
      </c>
      <c r="AC21" s="39"/>
      <c r="AK21" t="s">
        <v>220</v>
      </c>
      <c r="AL21" s="40">
        <v>2860</v>
      </c>
      <c r="AM21" s="40">
        <v>2885</v>
      </c>
      <c r="AN21" s="40">
        <v>2860</v>
      </c>
      <c r="AO21" s="40">
        <v>2878.7</v>
      </c>
      <c r="AP21">
        <v>27</v>
      </c>
      <c r="AQ21">
        <v>0.95</v>
      </c>
      <c r="AR21">
        <v>5.9</v>
      </c>
      <c r="AS21">
        <v>169.82</v>
      </c>
      <c r="AT21" s="40">
        <v>3629.05</v>
      </c>
      <c r="AU21" s="40">
        <v>2636</v>
      </c>
      <c r="AV21">
        <v>-4.95</v>
      </c>
      <c r="AW21">
        <v>4.78</v>
      </c>
      <c r="AX21">
        <v>0.38</v>
      </c>
    </row>
    <row r="22" spans="1:50">
      <c r="A22">
        <v>6</v>
      </c>
      <c r="D22">
        <v>344.8</v>
      </c>
      <c r="I22">
        <f t="shared" si="26"/>
        <v>310.32</v>
      </c>
      <c r="J22">
        <f t="shared" si="19"/>
        <v>293.08</v>
      </c>
      <c r="K22">
        <f t="shared" si="19"/>
        <v>379.28000000000003</v>
      </c>
      <c r="L22">
        <f t="shared" si="19"/>
        <v>396.52</v>
      </c>
      <c r="M22" s="35">
        <v>44497</v>
      </c>
      <c r="N22" s="33" t="e">
        <f>VLOOKUP(TRIM($B22),Lots!$B:$F,2,0)</f>
        <v>#N/A</v>
      </c>
      <c r="O22" s="33">
        <v>300</v>
      </c>
      <c r="P22" s="33"/>
      <c r="Q22" s="33">
        <v>4.9000000000000004</v>
      </c>
      <c r="R22" s="33">
        <v>41.23</v>
      </c>
      <c r="S22" s="33">
        <v>200077</v>
      </c>
      <c r="T22" s="33">
        <v>1</v>
      </c>
      <c r="U22" s="33" t="e">
        <f t="shared" si="20"/>
        <v>#N/A</v>
      </c>
      <c r="V22" s="33">
        <f t="shared" si="21"/>
        <v>200077</v>
      </c>
      <c r="W22" s="33" t="e">
        <f t="shared" si="22"/>
        <v>#N/A</v>
      </c>
      <c r="X22" s="34" t="e">
        <f t="shared" si="23"/>
        <v>#N/A</v>
      </c>
      <c r="Y22" s="33">
        <f t="shared" ca="1" si="24"/>
        <v>1.8805555555555555</v>
      </c>
      <c r="Z22" s="33">
        <f t="shared" ca="1" si="27"/>
        <v>-687</v>
      </c>
      <c r="AA22" s="37" t="e">
        <f t="shared" ca="1" si="25"/>
        <v>#N/A</v>
      </c>
      <c r="AC22" s="39"/>
      <c r="AK22" t="s">
        <v>374</v>
      </c>
      <c r="AL22">
        <v>115.45</v>
      </c>
      <c r="AM22">
        <v>116.75</v>
      </c>
      <c r="AN22">
        <v>115.2</v>
      </c>
      <c r="AO22">
        <v>116.25</v>
      </c>
      <c r="AP22">
        <v>1</v>
      </c>
      <c r="AQ22">
        <v>0.87</v>
      </c>
      <c r="AR22">
        <v>103.24</v>
      </c>
      <c r="AS22">
        <v>119.97</v>
      </c>
      <c r="AT22">
        <v>117.85</v>
      </c>
      <c r="AU22">
        <v>71.650000000000006</v>
      </c>
      <c r="AV22">
        <v>40.57</v>
      </c>
      <c r="AW22">
        <v>8.44</v>
      </c>
      <c r="AX22">
        <v>10.130000000000001</v>
      </c>
    </row>
    <row r="23" spans="1:50">
      <c r="A23">
        <v>7</v>
      </c>
      <c r="B23" s="32"/>
      <c r="C23" s="32"/>
      <c r="D23" s="32">
        <v>146.1</v>
      </c>
      <c r="E23" s="32"/>
      <c r="F23" s="32"/>
      <c r="G23" s="32"/>
      <c r="H23" s="32"/>
      <c r="I23" s="32">
        <f t="shared" si="26"/>
        <v>131.49</v>
      </c>
      <c r="J23" s="32">
        <f t="shared" si="19"/>
        <v>124.18499999999999</v>
      </c>
      <c r="K23" s="32">
        <f t="shared" si="19"/>
        <v>160.71</v>
      </c>
      <c r="L23" s="32">
        <f t="shared" si="19"/>
        <v>168.01499999999999</v>
      </c>
      <c r="M23" s="42">
        <v>44497</v>
      </c>
      <c r="N23" s="43" t="e">
        <f>VLOOKUP(TRIM($B23),Lots!$B:$F,2,0)</f>
        <v>#N/A</v>
      </c>
      <c r="O23" s="43">
        <v>130</v>
      </c>
      <c r="P23" s="43"/>
      <c r="Q23" s="43">
        <v>1</v>
      </c>
      <c r="R23" s="43">
        <v>28.39</v>
      </c>
      <c r="S23" s="43">
        <v>86689</v>
      </c>
      <c r="T23" s="43">
        <v>1</v>
      </c>
      <c r="U23" s="43" t="e">
        <f t="shared" si="20"/>
        <v>#N/A</v>
      </c>
      <c r="V23" s="43">
        <f t="shared" si="21"/>
        <v>86689</v>
      </c>
      <c r="W23" s="43" t="e">
        <f t="shared" si="22"/>
        <v>#N/A</v>
      </c>
      <c r="X23" s="44" t="e">
        <f t="shared" si="23"/>
        <v>#N/A</v>
      </c>
      <c r="Y23" s="43">
        <f t="shared" ca="1" si="24"/>
        <v>1.8805555555555555</v>
      </c>
      <c r="Z23" s="43">
        <f t="shared" ca="1" si="27"/>
        <v>-687</v>
      </c>
      <c r="AA23" s="44" t="e">
        <f ca="1">X23/Y23</f>
        <v>#N/A</v>
      </c>
      <c r="AK23" t="s">
        <v>389</v>
      </c>
      <c r="AL23" s="40">
        <v>740.9</v>
      </c>
      <c r="AM23" s="40">
        <v>752</v>
      </c>
      <c r="AN23" s="40">
        <v>740</v>
      </c>
      <c r="AO23" s="40">
        <v>745.05</v>
      </c>
      <c r="AP23">
        <v>5.85</v>
      </c>
      <c r="AQ23">
        <v>0.79</v>
      </c>
      <c r="AR23">
        <v>25.26</v>
      </c>
      <c r="AS23">
        <v>188.76</v>
      </c>
      <c r="AT23" s="40">
        <v>775.65</v>
      </c>
      <c r="AU23" s="40">
        <v>555.95000000000005</v>
      </c>
      <c r="AV23">
        <v>24.29</v>
      </c>
      <c r="AW23">
        <v>10.62</v>
      </c>
      <c r="AX23">
        <v>10.25</v>
      </c>
    </row>
    <row r="24" spans="1:50">
      <c r="A24">
        <v>8</v>
      </c>
      <c r="D24">
        <v>4125</v>
      </c>
      <c r="I24">
        <f t="shared" si="26"/>
        <v>3712.5</v>
      </c>
      <c r="J24">
        <f t="shared" si="19"/>
        <v>3506.25</v>
      </c>
      <c r="K24">
        <f t="shared" si="19"/>
        <v>4537.5</v>
      </c>
      <c r="L24">
        <f t="shared" si="19"/>
        <v>4743.75</v>
      </c>
      <c r="M24" s="35">
        <v>44497</v>
      </c>
      <c r="N24" s="33" t="e">
        <f>VLOOKUP(TRIM($B24),Lots!$B:$F,2,0)</f>
        <v>#N/A</v>
      </c>
      <c r="O24" s="33"/>
      <c r="P24" s="33"/>
      <c r="Q24" s="33"/>
      <c r="R24" s="33"/>
      <c r="S24" s="33">
        <v>133990</v>
      </c>
      <c r="T24" s="33">
        <v>0</v>
      </c>
      <c r="U24" s="33" t="e">
        <f t="shared" si="20"/>
        <v>#N/A</v>
      </c>
      <c r="V24" s="33">
        <f t="shared" si="21"/>
        <v>0</v>
      </c>
      <c r="W24" s="33" t="e">
        <f t="shared" si="22"/>
        <v>#N/A</v>
      </c>
      <c r="X24" s="34" t="e">
        <f t="shared" si="23"/>
        <v>#N/A</v>
      </c>
      <c r="Y24" s="33">
        <f t="shared" ca="1" si="24"/>
        <v>1.8805555555555555</v>
      </c>
      <c r="Z24" s="33">
        <f t="shared" ca="1" si="27"/>
        <v>-687</v>
      </c>
      <c r="AA24" s="34" t="e">
        <f t="shared" ref="AA24:AA58" ca="1" si="28">X24/Y24</f>
        <v>#N/A</v>
      </c>
      <c r="AC24" s="39"/>
      <c r="AK24" t="s">
        <v>403</v>
      </c>
      <c r="AL24" s="40">
        <v>1442.1</v>
      </c>
      <c r="AM24" s="40">
        <v>1480</v>
      </c>
      <c r="AN24" s="40">
        <v>1437.95</v>
      </c>
      <c r="AO24" s="40">
        <v>1462.95</v>
      </c>
      <c r="AP24">
        <v>10.9</v>
      </c>
      <c r="AQ24">
        <v>0.75</v>
      </c>
      <c r="AR24">
        <v>21.08</v>
      </c>
      <c r="AS24">
        <v>307.99</v>
      </c>
      <c r="AT24" s="40">
        <v>1480</v>
      </c>
      <c r="AU24">
        <v>747.55</v>
      </c>
      <c r="AV24">
        <v>85.01</v>
      </c>
      <c r="AW24">
        <v>6.95</v>
      </c>
      <c r="AX24">
        <v>4.9800000000000004</v>
      </c>
    </row>
    <row r="25" spans="1:50">
      <c r="A25">
        <v>9</v>
      </c>
      <c r="B25" s="32"/>
      <c r="C25" s="32"/>
      <c r="D25" s="32">
        <v>1565</v>
      </c>
      <c r="E25" s="32"/>
      <c r="F25" s="32"/>
      <c r="G25" s="32"/>
      <c r="H25" s="32"/>
      <c r="I25" s="32">
        <f t="shared" si="26"/>
        <v>1408.5</v>
      </c>
      <c r="J25" s="32">
        <f t="shared" si="19"/>
        <v>1330.25</v>
      </c>
      <c r="K25" s="32">
        <f t="shared" si="19"/>
        <v>1721.5000000000002</v>
      </c>
      <c r="L25" s="32">
        <f t="shared" si="19"/>
        <v>1799.7499999999998</v>
      </c>
      <c r="M25" s="42">
        <v>44497</v>
      </c>
      <c r="N25" s="43" t="e">
        <f>VLOOKUP(TRIM($B25),Lots!$B:$F,2,0)</f>
        <v>#N/A</v>
      </c>
      <c r="O25" s="43">
        <v>1400</v>
      </c>
      <c r="P25" s="43"/>
      <c r="Q25" s="43">
        <v>6.7</v>
      </c>
      <c r="R25" s="43">
        <v>26.31</v>
      </c>
      <c r="S25" s="43">
        <v>90873</v>
      </c>
      <c r="T25" s="43">
        <v>1</v>
      </c>
      <c r="U25" s="43" t="e">
        <f t="shared" si="20"/>
        <v>#N/A</v>
      </c>
      <c r="V25" s="43">
        <f t="shared" si="21"/>
        <v>90873</v>
      </c>
      <c r="W25" s="43" t="e">
        <f t="shared" si="22"/>
        <v>#N/A</v>
      </c>
      <c r="X25" s="44" t="e">
        <f t="shared" si="23"/>
        <v>#N/A</v>
      </c>
      <c r="Y25" s="43">
        <f t="shared" ca="1" si="24"/>
        <v>1.8805555555555555</v>
      </c>
      <c r="Z25" s="43">
        <f t="shared" ca="1" si="27"/>
        <v>-687</v>
      </c>
      <c r="AA25" s="44" t="e">
        <f t="shared" ca="1" si="28"/>
        <v>#N/A</v>
      </c>
      <c r="AC25" s="39"/>
      <c r="AK25" t="s">
        <v>435</v>
      </c>
      <c r="AL25">
        <v>30770</v>
      </c>
      <c r="AM25">
        <v>31469.95</v>
      </c>
      <c r="AN25">
        <v>30650</v>
      </c>
      <c r="AO25">
        <v>30856.65</v>
      </c>
      <c r="AP25">
        <v>198.15</v>
      </c>
      <c r="AQ25">
        <v>0.65</v>
      </c>
      <c r="AR25">
        <v>0.66</v>
      </c>
      <c r="AS25">
        <v>204.28</v>
      </c>
      <c r="AT25">
        <v>32048</v>
      </c>
      <c r="AU25">
        <v>18183.55</v>
      </c>
      <c r="AV25">
        <v>55.92</v>
      </c>
      <c r="AW25">
        <v>18.78</v>
      </c>
      <c r="AX25">
        <v>15.26</v>
      </c>
    </row>
    <row r="26" spans="1:50">
      <c r="A26">
        <v>10</v>
      </c>
      <c r="D26">
        <v>230.6</v>
      </c>
      <c r="I26">
        <f t="shared" si="26"/>
        <v>207.54</v>
      </c>
      <c r="J26">
        <f t="shared" si="19"/>
        <v>196.01</v>
      </c>
      <c r="K26">
        <f t="shared" si="19"/>
        <v>253.66000000000003</v>
      </c>
      <c r="L26">
        <f t="shared" si="19"/>
        <v>265.19</v>
      </c>
      <c r="M26" s="35">
        <v>44497</v>
      </c>
      <c r="N26" s="33" t="e">
        <f>VLOOKUP(TRIM($B26),Lots!$B:$F,2,0)</f>
        <v>#N/A</v>
      </c>
      <c r="O26" s="33">
        <v>200</v>
      </c>
      <c r="P26" s="33"/>
      <c r="Q26" s="33">
        <v>8</v>
      </c>
      <c r="R26" s="33">
        <v>0</v>
      </c>
      <c r="S26" s="33">
        <v>-1</v>
      </c>
      <c r="T26" s="33">
        <v>0</v>
      </c>
      <c r="U26" s="33" t="e">
        <f t="shared" si="20"/>
        <v>#N/A</v>
      </c>
      <c r="V26" s="33">
        <f t="shared" si="21"/>
        <v>0</v>
      </c>
      <c r="W26" s="33" t="e">
        <f t="shared" si="22"/>
        <v>#N/A</v>
      </c>
      <c r="X26" s="34" t="e">
        <f t="shared" si="23"/>
        <v>#N/A</v>
      </c>
      <c r="Y26" s="33">
        <f t="shared" ca="1" si="24"/>
        <v>1.8805555555555555</v>
      </c>
      <c r="Z26" s="33">
        <f t="shared" ca="1" si="27"/>
        <v>-687</v>
      </c>
      <c r="AA26" s="34" t="e">
        <f t="shared" ca="1" si="28"/>
        <v>#N/A</v>
      </c>
      <c r="AC26" s="39"/>
      <c r="AK26" t="s">
        <v>429</v>
      </c>
      <c r="AL26">
        <v>2820.3</v>
      </c>
      <c r="AM26">
        <v>2851.95</v>
      </c>
      <c r="AN26">
        <v>2801.2</v>
      </c>
      <c r="AO26">
        <v>2838.35</v>
      </c>
      <c r="AP26">
        <v>18.05</v>
      </c>
      <c r="AQ26">
        <v>0.64</v>
      </c>
      <c r="AR26">
        <v>3.47</v>
      </c>
      <c r="AS26">
        <v>97.82</v>
      </c>
      <c r="AT26">
        <v>3037</v>
      </c>
      <c r="AU26">
        <v>2015.2</v>
      </c>
      <c r="AV26">
        <v>31.44</v>
      </c>
      <c r="AW26">
        <v>13.72</v>
      </c>
      <c r="AX26">
        <v>-1.95</v>
      </c>
    </row>
    <row r="27" spans="1:50">
      <c r="A27">
        <v>11</v>
      </c>
      <c r="D27">
        <v>2780</v>
      </c>
      <c r="I27">
        <f t="shared" si="26"/>
        <v>2502</v>
      </c>
      <c r="J27">
        <f t="shared" si="19"/>
        <v>2363</v>
      </c>
      <c r="K27">
        <f t="shared" si="19"/>
        <v>3058.0000000000005</v>
      </c>
      <c r="L27">
        <f t="shared" si="19"/>
        <v>3196.9999999999995</v>
      </c>
      <c r="M27" s="35">
        <v>44497</v>
      </c>
      <c r="N27" s="33" t="e">
        <f>VLOOKUP(TRIM($B27),Lots!$B:$F,2,0)</f>
        <v>#N/A</v>
      </c>
      <c r="O27" s="33"/>
      <c r="P27" s="33"/>
      <c r="Q27" s="33"/>
      <c r="R27" s="33"/>
      <c r="S27" s="33">
        <v>88722</v>
      </c>
      <c r="T27" s="33">
        <v>1</v>
      </c>
      <c r="U27" s="33" t="e">
        <f t="shared" si="20"/>
        <v>#N/A</v>
      </c>
      <c r="V27" s="33">
        <f t="shared" si="21"/>
        <v>88722</v>
      </c>
      <c r="W27" s="33" t="e">
        <f t="shared" si="22"/>
        <v>#N/A</v>
      </c>
      <c r="X27" s="34" t="e">
        <f t="shared" si="23"/>
        <v>#N/A</v>
      </c>
      <c r="Y27" s="33">
        <f t="shared" ca="1" si="24"/>
        <v>1.8805555555555555</v>
      </c>
      <c r="Z27" s="33">
        <f t="shared" ca="1" si="27"/>
        <v>-687</v>
      </c>
      <c r="AA27" s="37" t="e">
        <f t="shared" ca="1" si="28"/>
        <v>#N/A</v>
      </c>
      <c r="AC27" s="39"/>
      <c r="AK27" t="s">
        <v>178</v>
      </c>
      <c r="AL27" s="40">
        <v>3762.6</v>
      </c>
      <c r="AM27" s="40">
        <v>3801.6</v>
      </c>
      <c r="AN27" s="40">
        <v>3758.05</v>
      </c>
      <c r="AO27" s="40">
        <v>3773.5</v>
      </c>
      <c r="AP27">
        <v>22.45</v>
      </c>
      <c r="AQ27">
        <v>0.6</v>
      </c>
      <c r="AR27">
        <v>4.41</v>
      </c>
      <c r="AS27">
        <v>166.74</v>
      </c>
      <c r="AT27" s="40">
        <v>4361.3999999999996</v>
      </c>
      <c r="AU27">
        <v>2822.45</v>
      </c>
      <c r="AV27">
        <v>27.58</v>
      </c>
      <c r="AW27">
        <v>0.67</v>
      </c>
      <c r="AX27">
        <v>10.74</v>
      </c>
    </row>
    <row r="28" spans="1:50">
      <c r="A28">
        <v>12</v>
      </c>
      <c r="D28">
        <v>720.25</v>
      </c>
      <c r="I28">
        <f t="shared" si="26"/>
        <v>648.22500000000002</v>
      </c>
      <c r="J28">
        <f t="shared" si="19"/>
        <v>612.21249999999998</v>
      </c>
      <c r="K28">
        <f t="shared" si="19"/>
        <v>792.27500000000009</v>
      </c>
      <c r="L28">
        <f t="shared" si="19"/>
        <v>828.28749999999991</v>
      </c>
      <c r="M28" s="35">
        <v>44497</v>
      </c>
      <c r="N28" s="33" t="e">
        <f>VLOOKUP(TRIM($B28),Lots!$B:$F,2,0)</f>
        <v>#N/A</v>
      </c>
      <c r="O28" s="33">
        <v>650</v>
      </c>
      <c r="P28" s="33"/>
      <c r="Q28" s="33">
        <v>4.75</v>
      </c>
      <c r="R28" s="33">
        <v>0</v>
      </c>
      <c r="S28" s="33">
        <v>165812</v>
      </c>
      <c r="T28" s="33">
        <v>1</v>
      </c>
      <c r="U28" s="33" t="e">
        <f t="shared" si="20"/>
        <v>#N/A</v>
      </c>
      <c r="V28" s="33">
        <f t="shared" si="21"/>
        <v>165812</v>
      </c>
      <c r="W28" s="33" t="e">
        <f t="shared" si="22"/>
        <v>#N/A</v>
      </c>
      <c r="X28" s="34" t="e">
        <f t="shared" si="23"/>
        <v>#N/A</v>
      </c>
      <c r="Y28" s="33">
        <f t="shared" ca="1" si="24"/>
        <v>1.8805555555555555</v>
      </c>
      <c r="Z28" s="33">
        <f t="shared" ca="1" si="27"/>
        <v>-687</v>
      </c>
      <c r="AA28" s="34" t="e">
        <f t="shared" ca="1" si="28"/>
        <v>#N/A</v>
      </c>
      <c r="AC28" s="39"/>
      <c r="AK28" t="s">
        <v>124</v>
      </c>
      <c r="AL28">
        <v>4937</v>
      </c>
      <c r="AM28">
        <v>4975</v>
      </c>
      <c r="AN28">
        <v>4918.8999999999996</v>
      </c>
      <c r="AO28">
        <v>4956.8999999999996</v>
      </c>
      <c r="AP28">
        <v>26.15</v>
      </c>
      <c r="AQ28">
        <v>0.53</v>
      </c>
      <c r="AR28">
        <v>2.4900000000000002</v>
      </c>
      <c r="AS28">
        <v>123.2</v>
      </c>
      <c r="AT28">
        <v>5614.6</v>
      </c>
      <c r="AU28">
        <v>4135</v>
      </c>
      <c r="AV28">
        <v>13.58</v>
      </c>
      <c r="AW28">
        <v>6.35</v>
      </c>
      <c r="AX28">
        <v>5.99</v>
      </c>
    </row>
    <row r="29" spans="1:50">
      <c r="A29">
        <v>13</v>
      </c>
      <c r="D29">
        <v>6040</v>
      </c>
      <c r="I29">
        <f t="shared" si="26"/>
        <v>5436</v>
      </c>
      <c r="J29">
        <f t="shared" si="19"/>
        <v>5134</v>
      </c>
      <c r="K29">
        <f t="shared" si="19"/>
        <v>6644.0000000000009</v>
      </c>
      <c r="L29">
        <f t="shared" si="19"/>
        <v>6945.9999999999991</v>
      </c>
      <c r="M29" s="35">
        <v>44497</v>
      </c>
      <c r="N29" s="33" t="e">
        <f>VLOOKUP(TRIM($B29),Lots!$B:$F,2,0)</f>
        <v>#N/A</v>
      </c>
      <c r="O29" s="33"/>
      <c r="P29" s="33"/>
      <c r="Q29" s="33"/>
      <c r="R29" s="33"/>
      <c r="S29" s="33">
        <v>341637</v>
      </c>
      <c r="T29" s="33">
        <v>1</v>
      </c>
      <c r="U29" s="33" t="e">
        <f t="shared" si="20"/>
        <v>#N/A</v>
      </c>
      <c r="V29" s="33">
        <f t="shared" si="21"/>
        <v>341637</v>
      </c>
      <c r="W29" s="33" t="e">
        <f t="shared" si="22"/>
        <v>#N/A</v>
      </c>
      <c r="X29" s="34" t="e">
        <f t="shared" si="23"/>
        <v>#N/A</v>
      </c>
      <c r="Y29" s="33">
        <f t="shared" ca="1" si="24"/>
        <v>1.8805555555555555</v>
      </c>
      <c r="Z29" s="33">
        <f t="shared" ca="1" si="27"/>
        <v>-687</v>
      </c>
      <c r="AA29" s="34" t="e">
        <f t="shared" ca="1" si="28"/>
        <v>#N/A</v>
      </c>
      <c r="AC29" s="39"/>
      <c r="AK29" t="s">
        <v>445</v>
      </c>
      <c r="AL29" s="40">
        <v>752</v>
      </c>
      <c r="AM29" s="40">
        <v>760</v>
      </c>
      <c r="AN29" s="40">
        <v>746.5</v>
      </c>
      <c r="AO29" s="40">
        <v>754.15</v>
      </c>
      <c r="AP29">
        <v>3.95</v>
      </c>
      <c r="AQ29">
        <v>0.53</v>
      </c>
      <c r="AR29">
        <v>29.11</v>
      </c>
      <c r="AS29">
        <v>219.59</v>
      </c>
      <c r="AT29" s="40">
        <v>952.05</v>
      </c>
      <c r="AU29" s="40">
        <v>567.5</v>
      </c>
      <c r="AV29">
        <v>22.57</v>
      </c>
      <c r="AW29">
        <v>-5.65</v>
      </c>
      <c r="AX29">
        <v>4.46</v>
      </c>
    </row>
    <row r="30" spans="1:50">
      <c r="A30">
        <v>14</v>
      </c>
      <c r="D30">
        <v>1731.2</v>
      </c>
      <c r="I30">
        <f t="shared" si="26"/>
        <v>1558.0800000000002</v>
      </c>
      <c r="J30">
        <f t="shared" si="19"/>
        <v>1471.52</v>
      </c>
      <c r="K30">
        <f t="shared" si="19"/>
        <v>1904.3200000000002</v>
      </c>
      <c r="L30">
        <f t="shared" si="19"/>
        <v>1990.8799999999999</v>
      </c>
      <c r="M30" s="35">
        <v>44497</v>
      </c>
      <c r="N30" s="33" t="e">
        <f>VLOOKUP(TRIM($B30),Lots!$B:$F,2,0)</f>
        <v>#N/A</v>
      </c>
      <c r="O30" s="33">
        <v>1500</v>
      </c>
      <c r="P30" s="33"/>
      <c r="Q30" s="33">
        <v>6.7</v>
      </c>
      <c r="R30" s="33">
        <v>26.77</v>
      </c>
      <c r="S30" s="33">
        <v>100187</v>
      </c>
      <c r="T30" s="33">
        <v>1</v>
      </c>
      <c r="U30" s="33" t="e">
        <f t="shared" si="20"/>
        <v>#N/A</v>
      </c>
      <c r="V30" s="33">
        <f t="shared" si="21"/>
        <v>100187</v>
      </c>
      <c r="W30" s="33" t="e">
        <f t="shared" si="22"/>
        <v>#N/A</v>
      </c>
      <c r="X30" s="34" t="e">
        <f t="shared" si="23"/>
        <v>#N/A</v>
      </c>
      <c r="Y30" s="33">
        <f t="shared" ca="1" si="24"/>
        <v>1.8805555555555555</v>
      </c>
      <c r="Z30" s="33">
        <f t="shared" ca="1" si="27"/>
        <v>-687</v>
      </c>
      <c r="AA30" s="34" t="e">
        <f t="shared" ca="1" si="28"/>
        <v>#N/A</v>
      </c>
      <c r="AC30" s="39"/>
      <c r="AK30" t="s">
        <v>106</v>
      </c>
      <c r="AL30" s="40">
        <v>1874</v>
      </c>
      <c r="AM30" s="40">
        <v>1898.45</v>
      </c>
      <c r="AN30" s="40">
        <v>1858</v>
      </c>
      <c r="AO30" s="40">
        <v>1877.45</v>
      </c>
      <c r="AP30">
        <v>9.6999999999999993</v>
      </c>
      <c r="AQ30">
        <v>0.52</v>
      </c>
      <c r="AR30">
        <v>45.1</v>
      </c>
      <c r="AS30">
        <v>849.73</v>
      </c>
      <c r="AT30" s="40">
        <v>2049</v>
      </c>
      <c r="AU30" s="40">
        <v>1230.5999999999999</v>
      </c>
      <c r="AV30">
        <v>43.9</v>
      </c>
      <c r="AW30">
        <v>5.34</v>
      </c>
      <c r="AX30">
        <v>-3.65</v>
      </c>
    </row>
    <row r="31" spans="1:50">
      <c r="A31">
        <v>15</v>
      </c>
      <c r="C31" t="s">
        <v>466</v>
      </c>
      <c r="D31">
        <v>562</v>
      </c>
      <c r="I31">
        <f t="shared" si="26"/>
        <v>505.8</v>
      </c>
      <c r="J31">
        <f t="shared" si="19"/>
        <v>477.7</v>
      </c>
      <c r="K31">
        <f t="shared" si="19"/>
        <v>618.20000000000005</v>
      </c>
      <c r="L31">
        <f t="shared" si="19"/>
        <v>646.29999999999995</v>
      </c>
      <c r="M31" s="35">
        <v>44497</v>
      </c>
      <c r="N31" s="33" t="e">
        <f>VLOOKUP(TRIM($B31),Lots!$B:$F,2,0)</f>
        <v>#N/A</v>
      </c>
      <c r="O31" s="33">
        <v>450</v>
      </c>
      <c r="P31" s="33"/>
      <c r="Q31" s="33">
        <v>10</v>
      </c>
      <c r="R31" s="33">
        <v>0</v>
      </c>
      <c r="S31" s="33">
        <v>89342</v>
      </c>
      <c r="T31" s="33">
        <v>1</v>
      </c>
      <c r="U31" s="33" t="e">
        <f t="shared" si="20"/>
        <v>#N/A</v>
      </c>
      <c r="V31" s="33">
        <f t="shared" si="21"/>
        <v>89342</v>
      </c>
      <c r="W31" s="33" t="e">
        <f t="shared" si="22"/>
        <v>#N/A</v>
      </c>
      <c r="X31" s="34" t="e">
        <f t="shared" si="23"/>
        <v>#N/A</v>
      </c>
      <c r="Y31" s="33">
        <f t="shared" ca="1" si="24"/>
        <v>1.8805555555555555</v>
      </c>
      <c r="Z31" s="33">
        <f t="shared" ca="1" si="27"/>
        <v>-687</v>
      </c>
      <c r="AA31" s="37" t="e">
        <f t="shared" ca="1" si="28"/>
        <v>#N/A</v>
      </c>
      <c r="AC31" s="39"/>
      <c r="AK31" t="s">
        <v>132</v>
      </c>
      <c r="AL31">
        <v>697</v>
      </c>
      <c r="AM31">
        <v>698</v>
      </c>
      <c r="AN31">
        <v>687.05</v>
      </c>
      <c r="AO31">
        <v>696.7</v>
      </c>
      <c r="AP31">
        <v>3.05</v>
      </c>
      <c r="AQ31">
        <v>0.44</v>
      </c>
      <c r="AR31">
        <v>23.76</v>
      </c>
      <c r="AS31">
        <v>164.84</v>
      </c>
      <c r="AT31">
        <v>776.5</v>
      </c>
      <c r="AU31">
        <v>257.55</v>
      </c>
      <c r="AV31">
        <v>140.37</v>
      </c>
      <c r="AW31">
        <v>-8.5299999999999994</v>
      </c>
      <c r="AX31">
        <v>-7.4</v>
      </c>
    </row>
    <row r="32" spans="1:50">
      <c r="A32">
        <v>16</v>
      </c>
      <c r="D32">
        <v>1189</v>
      </c>
      <c r="I32">
        <f t="shared" si="26"/>
        <v>1070.1000000000001</v>
      </c>
      <c r="J32">
        <f t="shared" si="19"/>
        <v>1010.65</v>
      </c>
      <c r="K32">
        <f t="shared" si="19"/>
        <v>1307.9000000000001</v>
      </c>
      <c r="L32">
        <f t="shared" si="19"/>
        <v>1367.35</v>
      </c>
      <c r="M32" s="35">
        <v>44497</v>
      </c>
      <c r="N32" s="33" t="e">
        <f>VLOOKUP(TRIM($B32),Lots!$B:$F,2,0)</f>
        <v>#N/A</v>
      </c>
      <c r="O32" s="33"/>
      <c r="P32" s="33"/>
      <c r="Q32" s="33"/>
      <c r="R32" s="33"/>
      <c r="S32" s="33">
        <v>-1</v>
      </c>
      <c r="T32" s="33">
        <v>1</v>
      </c>
      <c r="U32" s="33" t="e">
        <f t="shared" si="20"/>
        <v>#N/A</v>
      </c>
      <c r="V32" s="33">
        <f t="shared" si="21"/>
        <v>-1</v>
      </c>
      <c r="W32" s="33" t="e">
        <f t="shared" si="22"/>
        <v>#N/A</v>
      </c>
      <c r="X32" s="34" t="e">
        <f t="shared" si="23"/>
        <v>#N/A</v>
      </c>
      <c r="Y32" s="33">
        <f t="shared" ca="1" si="24"/>
        <v>1.8805555555555555</v>
      </c>
      <c r="Z32" s="33">
        <f t="shared" ca="1" si="27"/>
        <v>-687</v>
      </c>
      <c r="AA32" s="34" t="e">
        <f t="shared" ca="1" si="28"/>
        <v>#N/A</v>
      </c>
      <c r="AC32" s="39"/>
      <c r="AK32" t="s">
        <v>95</v>
      </c>
      <c r="AL32" s="40">
        <v>2368.5</v>
      </c>
      <c r="AM32" s="40">
        <v>2395.75</v>
      </c>
      <c r="AN32" s="40">
        <v>2368.5</v>
      </c>
      <c r="AO32" s="40">
        <v>2376.4499999999998</v>
      </c>
      <c r="AP32">
        <v>8</v>
      </c>
      <c r="AQ32">
        <v>0.34</v>
      </c>
      <c r="AR32">
        <v>33.58</v>
      </c>
      <c r="AS32">
        <v>799.47</v>
      </c>
      <c r="AT32" s="40">
        <v>2480</v>
      </c>
      <c r="AU32" s="40">
        <v>1830</v>
      </c>
      <c r="AV32">
        <v>3.21</v>
      </c>
      <c r="AW32">
        <v>9.34</v>
      </c>
      <c r="AX32">
        <v>10.38</v>
      </c>
    </row>
    <row r="33" spans="1:50">
      <c r="A33">
        <v>17</v>
      </c>
      <c r="D33">
        <v>2429</v>
      </c>
      <c r="I33">
        <f t="shared" si="26"/>
        <v>2186.1</v>
      </c>
      <c r="J33">
        <f t="shared" si="19"/>
        <v>2064.65</v>
      </c>
      <c r="K33">
        <f t="shared" si="19"/>
        <v>2671.9</v>
      </c>
      <c r="L33">
        <f t="shared" si="19"/>
        <v>2793.35</v>
      </c>
      <c r="M33" s="35">
        <v>44497</v>
      </c>
      <c r="N33" s="33" t="e">
        <f>VLOOKUP(TRIM($B33),Lots!$B:$F,2,0)</f>
        <v>#N/A</v>
      </c>
      <c r="O33" s="33"/>
      <c r="P33" s="33"/>
      <c r="Q33" s="33"/>
      <c r="R33" s="33"/>
      <c r="S33" s="33">
        <v>74953</v>
      </c>
      <c r="T33" s="33">
        <v>1</v>
      </c>
      <c r="U33" s="33" t="e">
        <f t="shared" si="20"/>
        <v>#N/A</v>
      </c>
      <c r="V33" s="33">
        <f t="shared" si="21"/>
        <v>74953</v>
      </c>
      <c r="W33" s="33" t="e">
        <f t="shared" si="22"/>
        <v>#N/A</v>
      </c>
      <c r="X33" s="34" t="e">
        <f t="shared" si="23"/>
        <v>#N/A</v>
      </c>
      <c r="Y33" s="33">
        <f t="shared" ca="1" si="24"/>
        <v>1.8805555555555555</v>
      </c>
      <c r="Z33" s="33">
        <f t="shared" ca="1" si="27"/>
        <v>-687</v>
      </c>
      <c r="AA33" s="37" t="e">
        <f t="shared" ca="1" si="28"/>
        <v>#N/A</v>
      </c>
      <c r="AC33" s="39"/>
      <c r="AK33" t="s">
        <v>104</v>
      </c>
      <c r="AL33" s="40">
        <v>2774</v>
      </c>
      <c r="AM33" s="40">
        <v>2775.95</v>
      </c>
      <c r="AN33" s="40">
        <v>2749.05</v>
      </c>
      <c r="AO33" s="40">
        <v>2770.15</v>
      </c>
      <c r="AP33">
        <v>7.6</v>
      </c>
      <c r="AQ33">
        <v>0.28000000000000003</v>
      </c>
      <c r="AR33">
        <v>11.32</v>
      </c>
      <c r="AS33">
        <v>312.75</v>
      </c>
      <c r="AT33" s="40">
        <v>2825</v>
      </c>
      <c r="AU33">
        <v>2000.05</v>
      </c>
      <c r="AV33">
        <v>30.45</v>
      </c>
      <c r="AW33">
        <v>14.17</v>
      </c>
      <c r="AX33">
        <v>-0.64</v>
      </c>
    </row>
    <row r="34" spans="1:50">
      <c r="A34">
        <v>18</v>
      </c>
      <c r="B34" s="32"/>
      <c r="C34" s="32"/>
      <c r="D34" s="32">
        <v>431</v>
      </c>
      <c r="E34" s="32"/>
      <c r="F34" s="32"/>
      <c r="G34" s="32"/>
      <c r="H34" s="32"/>
      <c r="I34" s="32">
        <f t="shared" si="26"/>
        <v>387.90000000000003</v>
      </c>
      <c r="J34" s="32">
        <f t="shared" si="19"/>
        <v>366.34999999999997</v>
      </c>
      <c r="K34" s="32">
        <f t="shared" si="19"/>
        <v>474.1</v>
      </c>
      <c r="L34" s="32">
        <f t="shared" si="19"/>
        <v>495.65</v>
      </c>
      <c r="M34" s="42">
        <v>44497</v>
      </c>
      <c r="N34" s="43" t="e">
        <f>VLOOKUP(TRIM($B34),Lots!$B:$F,2,0)</f>
        <v>#N/A</v>
      </c>
      <c r="O34" s="43">
        <v>380</v>
      </c>
      <c r="P34" s="43"/>
      <c r="Q34" s="43">
        <v>3</v>
      </c>
      <c r="R34" s="43">
        <v>31.29</v>
      </c>
      <c r="S34" s="43">
        <v>145024</v>
      </c>
      <c r="T34" s="43">
        <v>1</v>
      </c>
      <c r="U34" s="43" t="e">
        <f t="shared" si="20"/>
        <v>#N/A</v>
      </c>
      <c r="V34" s="43">
        <f t="shared" si="21"/>
        <v>145024</v>
      </c>
      <c r="W34" s="43" t="e">
        <f t="shared" si="22"/>
        <v>#N/A</v>
      </c>
      <c r="X34" s="44" t="e">
        <f t="shared" si="23"/>
        <v>#N/A</v>
      </c>
      <c r="Y34" s="43">
        <f t="shared" ca="1" si="24"/>
        <v>1.8805555555555555</v>
      </c>
      <c r="Z34" s="43">
        <f t="shared" ca="1" si="27"/>
        <v>-687</v>
      </c>
      <c r="AA34" s="44" t="e">
        <f t="shared" ca="1" si="28"/>
        <v>#N/A</v>
      </c>
      <c r="AC34" s="39"/>
      <c r="AK34" t="s">
        <v>418</v>
      </c>
      <c r="AL34">
        <v>1452.3</v>
      </c>
      <c r="AM34">
        <v>1463.7</v>
      </c>
      <c r="AN34">
        <v>1444.4</v>
      </c>
      <c r="AO34">
        <v>1456.3</v>
      </c>
      <c r="AP34">
        <v>4</v>
      </c>
      <c r="AQ34">
        <v>0.28000000000000003</v>
      </c>
      <c r="AR34">
        <v>38.9</v>
      </c>
      <c r="AS34">
        <v>565.77</v>
      </c>
      <c r="AT34">
        <v>1534.5</v>
      </c>
      <c r="AU34">
        <v>342.75</v>
      </c>
      <c r="AV34">
        <v>259.89</v>
      </c>
      <c r="AW34">
        <v>-4.1500000000000004</v>
      </c>
      <c r="AX34">
        <v>14.89</v>
      </c>
    </row>
    <row r="35" spans="1:50">
      <c r="A35">
        <v>19</v>
      </c>
      <c r="D35">
        <v>818</v>
      </c>
      <c r="I35">
        <f t="shared" si="26"/>
        <v>736.2</v>
      </c>
      <c r="J35">
        <f t="shared" si="19"/>
        <v>695.3</v>
      </c>
      <c r="K35">
        <f t="shared" si="19"/>
        <v>899.80000000000007</v>
      </c>
      <c r="L35">
        <f t="shared" si="19"/>
        <v>940.69999999999993</v>
      </c>
      <c r="M35" s="35">
        <v>44497</v>
      </c>
      <c r="N35" s="33"/>
      <c r="O35" s="33"/>
      <c r="P35" s="33"/>
      <c r="Q35" s="33"/>
      <c r="R35" s="33"/>
      <c r="S35" s="33">
        <v>133676</v>
      </c>
      <c r="T35" s="33">
        <v>1</v>
      </c>
      <c r="U35" s="33">
        <f t="shared" si="20"/>
        <v>0</v>
      </c>
      <c r="V35" s="33">
        <f t="shared" si="21"/>
        <v>133676</v>
      </c>
      <c r="W35" s="33">
        <f t="shared" si="22"/>
        <v>0</v>
      </c>
      <c r="X35" s="34">
        <f t="shared" si="23"/>
        <v>0</v>
      </c>
      <c r="Y35" s="33">
        <f t="shared" ca="1" si="24"/>
        <v>1.8805555555555555</v>
      </c>
      <c r="Z35" s="33">
        <f t="shared" ca="1" si="27"/>
        <v>-687</v>
      </c>
      <c r="AA35" s="34">
        <f t="shared" ca="1" si="28"/>
        <v>0</v>
      </c>
      <c r="AC35" s="39"/>
      <c r="AK35" t="s">
        <v>402</v>
      </c>
      <c r="AL35" s="40">
        <v>6938</v>
      </c>
      <c r="AM35" s="40">
        <v>6938</v>
      </c>
      <c r="AN35" s="40">
        <v>6880</v>
      </c>
      <c r="AO35" s="40">
        <v>6909.3</v>
      </c>
      <c r="AP35">
        <v>14.85</v>
      </c>
      <c r="AQ35">
        <v>0.22</v>
      </c>
      <c r="AR35">
        <v>2.4500000000000002</v>
      </c>
      <c r="AS35">
        <v>169.3</v>
      </c>
      <c r="AT35" s="40">
        <v>8329</v>
      </c>
      <c r="AU35">
        <v>6270.15</v>
      </c>
      <c r="AV35">
        <v>-3.08</v>
      </c>
      <c r="AW35">
        <v>1.21</v>
      </c>
      <c r="AX35">
        <v>-1.54</v>
      </c>
    </row>
    <row r="36" spans="1:50">
      <c r="A36">
        <v>20</v>
      </c>
      <c r="D36">
        <v>132.1</v>
      </c>
      <c r="I36">
        <f t="shared" si="26"/>
        <v>118.89</v>
      </c>
      <c r="J36">
        <f t="shared" si="19"/>
        <v>112.285</v>
      </c>
      <c r="K36">
        <f t="shared" si="19"/>
        <v>145.31</v>
      </c>
      <c r="L36">
        <f t="shared" si="19"/>
        <v>151.91499999999999</v>
      </c>
      <c r="M36" s="35">
        <v>44497</v>
      </c>
      <c r="N36" s="33" t="e">
        <f>VLOOKUP(TRIM($B36),Lots!$B:$F,2,0)</f>
        <v>#N/A</v>
      </c>
      <c r="O36" s="33">
        <v>115</v>
      </c>
      <c r="P36" s="33"/>
      <c r="Q36" s="33">
        <v>1.25</v>
      </c>
      <c r="R36" s="33">
        <v>0</v>
      </c>
      <c r="S36" s="33">
        <v>137192</v>
      </c>
      <c r="T36" s="33">
        <v>1</v>
      </c>
      <c r="U36" s="33" t="e">
        <f t="shared" si="20"/>
        <v>#N/A</v>
      </c>
      <c r="V36" s="33">
        <f t="shared" si="21"/>
        <v>137192</v>
      </c>
      <c r="W36" s="33" t="e">
        <f t="shared" si="22"/>
        <v>#N/A</v>
      </c>
      <c r="X36" s="34" t="e">
        <f t="shared" si="23"/>
        <v>#N/A</v>
      </c>
      <c r="Y36" s="33">
        <f t="shared" ca="1" si="24"/>
        <v>1.8805555555555555</v>
      </c>
      <c r="Z36" s="33">
        <f t="shared" ca="1" si="27"/>
        <v>-687</v>
      </c>
      <c r="AA36" s="37" t="e">
        <f t="shared" ca="1" si="28"/>
        <v>#N/A</v>
      </c>
      <c r="AK36" t="s">
        <v>99</v>
      </c>
      <c r="AL36">
        <v>16851.25</v>
      </c>
      <c r="AM36">
        <v>16982</v>
      </c>
      <c r="AN36">
        <v>16837.2</v>
      </c>
      <c r="AO36">
        <v>16864.5</v>
      </c>
      <c r="AP36">
        <v>33.25</v>
      </c>
      <c r="AQ36">
        <v>0.2</v>
      </c>
      <c r="AR36">
        <v>0.96</v>
      </c>
      <c r="AS36">
        <v>162.33000000000001</v>
      </c>
      <c r="AT36">
        <v>17263.5</v>
      </c>
      <c r="AU36">
        <v>5400</v>
      </c>
      <c r="AV36">
        <v>175.92</v>
      </c>
      <c r="AW36">
        <v>15.91</v>
      </c>
      <c r="AX36">
        <v>9.42</v>
      </c>
    </row>
    <row r="37" spans="1:50">
      <c r="M37" s="35">
        <v>44497</v>
      </c>
      <c r="N37" s="33"/>
      <c r="O37" s="33"/>
      <c r="P37" s="33"/>
      <c r="Q37" s="33"/>
      <c r="R37" s="33"/>
      <c r="S37" s="33">
        <f>SUM(S17:S36)</f>
        <v>2125545</v>
      </c>
      <c r="T37" s="33"/>
      <c r="U37" s="33" t="e">
        <f>SUM(U17:U36)</f>
        <v>#N/A</v>
      </c>
      <c r="V37" s="33">
        <f>SUM(V17:V36)</f>
        <v>1991558</v>
      </c>
      <c r="W37" s="33" t="e">
        <f>SUM(W17:W36)</f>
        <v>#N/A</v>
      </c>
      <c r="X37" s="34" t="e">
        <f>U37/V37</f>
        <v>#N/A</v>
      </c>
      <c r="Y37" s="33">
        <f t="shared" ca="1" si="24"/>
        <v>1.8805555555555555</v>
      </c>
      <c r="Z37" s="33">
        <f t="shared" ca="1" si="27"/>
        <v>-687</v>
      </c>
      <c r="AA37" s="34" t="e">
        <f t="shared" ca="1" si="28"/>
        <v>#N/A</v>
      </c>
      <c r="AK37" t="s">
        <v>451</v>
      </c>
      <c r="AL37" s="40">
        <v>674</v>
      </c>
      <c r="AM37" s="40">
        <v>680.55</v>
      </c>
      <c r="AN37" s="40">
        <v>670</v>
      </c>
      <c r="AO37" s="40">
        <v>674.55</v>
      </c>
      <c r="AP37">
        <v>1.1000000000000001</v>
      </c>
      <c r="AQ37">
        <v>0.16</v>
      </c>
      <c r="AR37">
        <v>35.25</v>
      </c>
      <c r="AS37">
        <v>237.98</v>
      </c>
      <c r="AT37" s="40">
        <v>690</v>
      </c>
      <c r="AU37" s="40">
        <v>293.14999999999998</v>
      </c>
      <c r="AV37">
        <v>119.58</v>
      </c>
      <c r="AW37">
        <v>9.85</v>
      </c>
      <c r="AX37">
        <v>17.559999999999999</v>
      </c>
    </row>
    <row r="38" spans="1:50">
      <c r="N38" s="33"/>
      <c r="O38" s="33"/>
      <c r="P38" s="33"/>
      <c r="Q38" s="33"/>
      <c r="R38" s="33"/>
      <c r="S38" s="33"/>
      <c r="T38" s="33"/>
      <c r="U38" s="33"/>
      <c r="V38" s="33"/>
      <c r="W38" s="33">
        <f t="shared" ref="W38:W58" si="29">N38*O38*T38</f>
        <v>0</v>
      </c>
      <c r="Y38" s="33"/>
      <c r="Z38" s="33"/>
      <c r="AK38" t="s">
        <v>103</v>
      </c>
      <c r="AL38">
        <v>1535</v>
      </c>
      <c r="AM38">
        <v>1554.8</v>
      </c>
      <c r="AN38">
        <v>1535</v>
      </c>
      <c r="AO38">
        <v>1550.3</v>
      </c>
      <c r="AP38">
        <v>1.75</v>
      </c>
      <c r="AQ38">
        <v>0.11</v>
      </c>
      <c r="AR38">
        <v>66.260000000000005</v>
      </c>
      <c r="AS38">
        <v>1022.72</v>
      </c>
      <c r="AT38">
        <v>1641</v>
      </c>
      <c r="AU38">
        <v>1025</v>
      </c>
      <c r="AV38">
        <v>46.54</v>
      </c>
      <c r="AW38">
        <v>1.29</v>
      </c>
      <c r="AX38">
        <v>1.46</v>
      </c>
    </row>
    <row r="39" spans="1:50">
      <c r="A39">
        <v>1</v>
      </c>
      <c r="I39">
        <f>$D39*(1+I$1)</f>
        <v>0</v>
      </c>
      <c r="J39">
        <f t="shared" ref="J39:L58" si="30">$D39*(1+J$1)</f>
        <v>0</v>
      </c>
      <c r="K39">
        <f t="shared" si="30"/>
        <v>0</v>
      </c>
      <c r="L39">
        <f t="shared" si="30"/>
        <v>0</v>
      </c>
      <c r="M39" s="35">
        <v>44469</v>
      </c>
      <c r="N39" s="33"/>
      <c r="O39" s="33"/>
      <c r="P39" s="33"/>
      <c r="Q39" s="33"/>
      <c r="R39" s="33"/>
      <c r="S39" s="33">
        <v>-1</v>
      </c>
      <c r="T39" s="33">
        <v>0</v>
      </c>
      <c r="U39" s="33">
        <f t="shared" ref="U39:U58" si="31">Q39*N39*T39</f>
        <v>0</v>
      </c>
      <c r="V39" s="33">
        <f t="shared" ref="V39:V58" si="32">S39*T39</f>
        <v>0</v>
      </c>
      <c r="W39" s="33">
        <f t="shared" si="29"/>
        <v>0</v>
      </c>
      <c r="X39" s="34">
        <f t="shared" ref="X39:X58" si="33">Q39*N39/S39</f>
        <v>0</v>
      </c>
      <c r="Y39" s="33">
        <f t="shared" ref="Y39:Y58" ca="1" si="34">YEARFRAC($A$1,M39)</f>
        <v>1.9583333333333333</v>
      </c>
      <c r="Z39" s="33">
        <f t="shared" ca="1" si="27"/>
        <v>-715</v>
      </c>
      <c r="AA39" s="34">
        <f t="shared" ca="1" si="28"/>
        <v>0</v>
      </c>
      <c r="AK39" t="s">
        <v>393</v>
      </c>
      <c r="AL39" s="40">
        <v>784.7</v>
      </c>
      <c r="AM39" s="40">
        <v>785.75</v>
      </c>
      <c r="AN39" s="40">
        <v>778.9</v>
      </c>
      <c r="AO39" s="40">
        <v>782.05</v>
      </c>
      <c r="AP39">
        <v>0.65</v>
      </c>
      <c r="AQ39">
        <v>0.08</v>
      </c>
      <c r="AR39">
        <v>9.3800000000000008</v>
      </c>
      <c r="AS39">
        <v>73.42</v>
      </c>
      <c r="AT39" s="40">
        <v>804.35</v>
      </c>
      <c r="AU39" s="40">
        <v>452.25</v>
      </c>
      <c r="AV39">
        <v>57.73</v>
      </c>
      <c r="AW39">
        <v>0.16</v>
      </c>
      <c r="AX39">
        <v>0.4</v>
      </c>
    </row>
    <row r="40" spans="1:50">
      <c r="A40">
        <v>2</v>
      </c>
      <c r="D40">
        <v>3339.65</v>
      </c>
      <c r="I40">
        <f t="shared" ref="I40:I58" si="35">$D40*(1+I$1)</f>
        <v>3005.6849999999999</v>
      </c>
      <c r="J40">
        <f t="shared" si="30"/>
        <v>2838.7024999999999</v>
      </c>
      <c r="K40">
        <f t="shared" si="30"/>
        <v>3673.6150000000002</v>
      </c>
      <c r="L40">
        <f t="shared" si="30"/>
        <v>3840.5974999999999</v>
      </c>
      <c r="M40" s="35">
        <v>44469</v>
      </c>
      <c r="N40" s="33"/>
      <c r="O40" s="33"/>
      <c r="P40" s="33"/>
      <c r="Q40" s="33"/>
      <c r="R40" s="33"/>
      <c r="S40" s="33">
        <v>-1</v>
      </c>
      <c r="T40" s="33">
        <v>0</v>
      </c>
      <c r="U40" s="33">
        <f t="shared" si="31"/>
        <v>0</v>
      </c>
      <c r="V40" s="33">
        <f t="shared" si="32"/>
        <v>0</v>
      </c>
      <c r="W40" s="33">
        <f t="shared" si="29"/>
        <v>0</v>
      </c>
      <c r="X40" s="34">
        <f t="shared" si="33"/>
        <v>0</v>
      </c>
      <c r="Y40" s="33">
        <f t="shared" ca="1" si="34"/>
        <v>1.9583333333333333</v>
      </c>
      <c r="Z40" s="33">
        <f t="shared" ca="1" si="27"/>
        <v>-715</v>
      </c>
      <c r="AA40" s="34">
        <f t="shared" ca="1" si="28"/>
        <v>0</v>
      </c>
      <c r="AK40" t="s">
        <v>111</v>
      </c>
      <c r="AL40">
        <v>7445</v>
      </c>
      <c r="AM40">
        <v>7480</v>
      </c>
      <c r="AN40">
        <v>7380</v>
      </c>
      <c r="AO40">
        <v>7421</v>
      </c>
      <c r="AP40">
        <v>3.45</v>
      </c>
      <c r="AQ40">
        <v>0.05</v>
      </c>
      <c r="AR40">
        <v>5.72</v>
      </c>
      <c r="AS40">
        <v>423.8</v>
      </c>
      <c r="AT40">
        <v>7674.5</v>
      </c>
      <c r="AU40">
        <v>3006.9</v>
      </c>
      <c r="AV40">
        <v>115.68</v>
      </c>
      <c r="AW40">
        <v>16.37</v>
      </c>
      <c r="AX40">
        <v>2.2000000000000002</v>
      </c>
    </row>
    <row r="41" spans="1:50">
      <c r="A41">
        <v>3</v>
      </c>
      <c r="D41">
        <v>759.5</v>
      </c>
      <c r="I41">
        <f t="shared" si="35"/>
        <v>683.55000000000007</v>
      </c>
      <c r="J41">
        <f t="shared" si="30"/>
        <v>645.57499999999993</v>
      </c>
      <c r="K41">
        <f t="shared" si="30"/>
        <v>835.45</v>
      </c>
      <c r="L41">
        <f t="shared" si="30"/>
        <v>873.42499999999995</v>
      </c>
      <c r="M41" s="35">
        <v>44469</v>
      </c>
      <c r="N41" s="33"/>
      <c r="O41" s="33"/>
      <c r="P41" s="33"/>
      <c r="Q41" s="33"/>
      <c r="R41" s="33"/>
      <c r="S41" s="33">
        <v>-1</v>
      </c>
      <c r="T41" s="33">
        <v>0</v>
      </c>
      <c r="U41" s="33">
        <f t="shared" si="31"/>
        <v>0</v>
      </c>
      <c r="V41" s="33">
        <f t="shared" si="32"/>
        <v>0</v>
      </c>
      <c r="W41" s="33">
        <f t="shared" si="29"/>
        <v>0</v>
      </c>
      <c r="X41" s="34">
        <f t="shared" si="33"/>
        <v>0</v>
      </c>
      <c r="Y41" s="33">
        <f t="shared" ca="1" si="34"/>
        <v>1.9583333333333333</v>
      </c>
      <c r="Z41" s="33">
        <f t="shared" ca="1" si="27"/>
        <v>-715</v>
      </c>
      <c r="AA41" s="34">
        <f t="shared" ca="1" si="28"/>
        <v>0</v>
      </c>
      <c r="AK41" t="s">
        <v>416</v>
      </c>
      <c r="AL41">
        <v>1170.9000000000001</v>
      </c>
      <c r="AM41">
        <v>1176</v>
      </c>
      <c r="AN41">
        <v>1165.5</v>
      </c>
      <c r="AO41">
        <v>1171.3499999999999</v>
      </c>
      <c r="AP41">
        <v>0.45</v>
      </c>
      <c r="AQ41">
        <v>0.04</v>
      </c>
      <c r="AR41">
        <v>14.99</v>
      </c>
      <c r="AS41">
        <v>175.58</v>
      </c>
      <c r="AT41">
        <v>1253.6500000000001</v>
      </c>
      <c r="AU41">
        <v>755.25</v>
      </c>
      <c r="AV41">
        <v>36.659999999999997</v>
      </c>
      <c r="AW41">
        <v>2.83</v>
      </c>
      <c r="AX41">
        <v>20.48</v>
      </c>
    </row>
    <row r="42" spans="1:50">
      <c r="A42">
        <v>4</v>
      </c>
      <c r="D42">
        <v>799.55</v>
      </c>
      <c r="I42">
        <f t="shared" si="35"/>
        <v>719.59500000000003</v>
      </c>
      <c r="J42">
        <f t="shared" si="30"/>
        <v>679.61749999999995</v>
      </c>
      <c r="K42">
        <f t="shared" si="30"/>
        <v>879.505</v>
      </c>
      <c r="L42">
        <f t="shared" si="30"/>
        <v>919.48249999999985</v>
      </c>
      <c r="M42" s="35">
        <v>44469</v>
      </c>
      <c r="N42" s="33"/>
      <c r="O42" s="33"/>
      <c r="P42" s="33"/>
      <c r="Q42" s="33"/>
      <c r="R42" s="33"/>
      <c r="S42" s="33">
        <v>-1</v>
      </c>
      <c r="T42" s="33">
        <v>0</v>
      </c>
      <c r="U42" s="33">
        <f t="shared" si="31"/>
        <v>0</v>
      </c>
      <c r="V42" s="33">
        <f t="shared" si="32"/>
        <v>0</v>
      </c>
      <c r="W42" s="33">
        <f t="shared" si="29"/>
        <v>0</v>
      </c>
      <c r="X42" s="34">
        <f t="shared" si="33"/>
        <v>0</v>
      </c>
      <c r="Y42" s="33">
        <f t="shared" ca="1" si="34"/>
        <v>1.9583333333333333</v>
      </c>
      <c r="Z42" s="33">
        <f t="shared" ca="1" si="27"/>
        <v>-715</v>
      </c>
      <c r="AA42" s="34">
        <f t="shared" ca="1" si="28"/>
        <v>0</v>
      </c>
      <c r="AK42" t="s">
        <v>396</v>
      </c>
      <c r="AL42">
        <v>217.1</v>
      </c>
      <c r="AM42">
        <v>217.2</v>
      </c>
      <c r="AN42">
        <v>215.3</v>
      </c>
      <c r="AO42">
        <v>216</v>
      </c>
      <c r="AP42">
        <v>-0.1</v>
      </c>
      <c r="AQ42">
        <v>-0.05</v>
      </c>
      <c r="AR42">
        <v>184.84</v>
      </c>
      <c r="AS42">
        <v>399.05</v>
      </c>
      <c r="AT42">
        <v>239.2</v>
      </c>
      <c r="AU42">
        <v>163.35</v>
      </c>
      <c r="AV42">
        <v>17.809999999999999</v>
      </c>
      <c r="AW42">
        <v>2.42</v>
      </c>
      <c r="AX42">
        <v>2.84</v>
      </c>
    </row>
    <row r="43" spans="1:50">
      <c r="A43">
        <v>5</v>
      </c>
      <c r="D43">
        <v>7532.4</v>
      </c>
      <c r="I43">
        <f t="shared" si="35"/>
        <v>6779.16</v>
      </c>
      <c r="J43">
        <f t="shared" si="30"/>
        <v>6402.54</v>
      </c>
      <c r="K43">
        <f t="shared" si="30"/>
        <v>8285.64</v>
      </c>
      <c r="L43">
        <f t="shared" si="30"/>
        <v>8662.2599999999984</v>
      </c>
      <c r="M43" s="35">
        <v>44469</v>
      </c>
      <c r="N43" s="33"/>
      <c r="O43" s="33"/>
      <c r="P43" s="33"/>
      <c r="Q43" s="33"/>
      <c r="R43" s="33"/>
      <c r="S43" s="33">
        <v>-1</v>
      </c>
      <c r="T43" s="33">
        <v>0</v>
      </c>
      <c r="U43" s="33">
        <f t="shared" si="31"/>
        <v>0</v>
      </c>
      <c r="V43" s="33">
        <f t="shared" si="32"/>
        <v>0</v>
      </c>
      <c r="W43" s="33">
        <f t="shared" si="29"/>
        <v>0</v>
      </c>
      <c r="X43" s="34">
        <f t="shared" si="33"/>
        <v>0</v>
      </c>
      <c r="Y43" s="33">
        <f t="shared" ca="1" si="34"/>
        <v>1.9583333333333333</v>
      </c>
      <c r="Z43" s="33">
        <f t="shared" ca="1" si="27"/>
        <v>-715</v>
      </c>
      <c r="AA43" s="34">
        <f t="shared" ca="1" si="28"/>
        <v>0</v>
      </c>
      <c r="AK43" t="s">
        <v>92</v>
      </c>
      <c r="AL43">
        <v>2805.7</v>
      </c>
      <c r="AM43">
        <v>2843</v>
      </c>
      <c r="AN43">
        <v>2795</v>
      </c>
      <c r="AO43">
        <v>2815.7</v>
      </c>
      <c r="AP43">
        <v>-2.35</v>
      </c>
      <c r="AQ43">
        <v>-0.08</v>
      </c>
      <c r="AR43">
        <v>16.68</v>
      </c>
      <c r="AS43">
        <v>470.09</v>
      </c>
      <c r="AT43">
        <v>2896</v>
      </c>
      <c r="AU43">
        <v>1623</v>
      </c>
      <c r="AV43">
        <v>62.01</v>
      </c>
      <c r="AW43">
        <v>3.1</v>
      </c>
      <c r="AX43">
        <v>4.21</v>
      </c>
    </row>
    <row r="44" spans="1:50">
      <c r="A44">
        <v>6</v>
      </c>
      <c r="D44">
        <v>198.55</v>
      </c>
      <c r="I44">
        <f t="shared" si="35"/>
        <v>178.69500000000002</v>
      </c>
      <c r="J44">
        <f t="shared" si="30"/>
        <v>168.76750000000001</v>
      </c>
      <c r="K44">
        <f t="shared" si="30"/>
        <v>218.40500000000003</v>
      </c>
      <c r="L44">
        <f t="shared" si="30"/>
        <v>228.33249999999998</v>
      </c>
      <c r="M44" s="35">
        <v>44469</v>
      </c>
      <c r="N44" s="33"/>
      <c r="O44" s="33"/>
      <c r="P44" s="33"/>
      <c r="Q44" s="33"/>
      <c r="R44" s="33"/>
      <c r="S44" s="33">
        <v>-1</v>
      </c>
      <c r="T44" s="33">
        <v>0</v>
      </c>
      <c r="U44" s="33">
        <f t="shared" si="31"/>
        <v>0</v>
      </c>
      <c r="V44" s="33">
        <f t="shared" si="32"/>
        <v>0</v>
      </c>
      <c r="W44" s="33">
        <f t="shared" si="29"/>
        <v>0</v>
      </c>
      <c r="X44" s="34">
        <f t="shared" si="33"/>
        <v>0</v>
      </c>
      <c r="Y44" s="33">
        <f t="shared" ca="1" si="34"/>
        <v>1.9583333333333333</v>
      </c>
      <c r="Z44" s="33">
        <f t="shared" ca="1" si="27"/>
        <v>-715</v>
      </c>
      <c r="AA44" s="34">
        <f t="shared" ca="1" si="28"/>
        <v>0</v>
      </c>
      <c r="AK44" t="s">
        <v>98</v>
      </c>
      <c r="AL44">
        <v>796</v>
      </c>
      <c r="AM44">
        <v>797.45</v>
      </c>
      <c r="AN44">
        <v>787</v>
      </c>
      <c r="AO44">
        <v>793.5</v>
      </c>
      <c r="AP44">
        <v>-0.9</v>
      </c>
      <c r="AQ44">
        <v>-0.11</v>
      </c>
      <c r="AR44">
        <v>34.409999999999997</v>
      </c>
      <c r="AS44">
        <v>272.14</v>
      </c>
      <c r="AT44">
        <v>819</v>
      </c>
      <c r="AU44">
        <v>400.15</v>
      </c>
      <c r="AV44">
        <v>80.12</v>
      </c>
      <c r="AW44">
        <v>4.13</v>
      </c>
      <c r="AX44">
        <v>4.54</v>
      </c>
    </row>
    <row r="45" spans="1:50">
      <c r="A45">
        <v>7</v>
      </c>
      <c r="D45">
        <v>146.75</v>
      </c>
      <c r="I45">
        <f t="shared" si="35"/>
        <v>132.07500000000002</v>
      </c>
      <c r="J45">
        <f t="shared" si="30"/>
        <v>124.7375</v>
      </c>
      <c r="K45">
        <f t="shared" si="30"/>
        <v>161.42500000000001</v>
      </c>
      <c r="L45">
        <f t="shared" si="30"/>
        <v>168.76249999999999</v>
      </c>
      <c r="M45" s="35">
        <v>44469</v>
      </c>
      <c r="N45" s="33">
        <v>4200</v>
      </c>
      <c r="O45" s="33">
        <v>130</v>
      </c>
      <c r="P45" s="33"/>
      <c r="Q45" s="33">
        <v>1.05</v>
      </c>
      <c r="R45" s="33"/>
      <c r="S45" s="33">
        <v>87591</v>
      </c>
      <c r="T45" s="33">
        <v>1</v>
      </c>
      <c r="U45" s="33">
        <f t="shared" si="31"/>
        <v>4410</v>
      </c>
      <c r="V45" s="33">
        <f t="shared" si="32"/>
        <v>87591</v>
      </c>
      <c r="W45" s="33">
        <f t="shared" si="29"/>
        <v>546000</v>
      </c>
      <c r="X45" s="34">
        <f t="shared" si="33"/>
        <v>5.0347638456005754E-2</v>
      </c>
      <c r="Y45" s="33">
        <f t="shared" ca="1" si="34"/>
        <v>1.9583333333333333</v>
      </c>
      <c r="Z45" s="33">
        <f t="shared" ca="1" si="27"/>
        <v>-715</v>
      </c>
      <c r="AA45" s="37">
        <f t="shared" ca="1" si="28"/>
        <v>2.5709432403066768E-2</v>
      </c>
      <c r="AK45" t="s">
        <v>96</v>
      </c>
      <c r="AL45" s="40">
        <v>3361.85</v>
      </c>
      <c r="AM45" s="40">
        <v>3383.95</v>
      </c>
      <c r="AN45" s="40">
        <v>3353</v>
      </c>
      <c r="AO45" s="40">
        <v>3356</v>
      </c>
      <c r="AP45">
        <v>-6.5</v>
      </c>
      <c r="AQ45">
        <v>-0.19</v>
      </c>
      <c r="AR45">
        <v>4.8099999999999996</v>
      </c>
      <c r="AS45">
        <v>161.91</v>
      </c>
      <c r="AT45" s="40">
        <v>3394.6</v>
      </c>
      <c r="AU45" s="40">
        <v>1907.75</v>
      </c>
      <c r="AV45">
        <v>65.22</v>
      </c>
      <c r="AW45">
        <v>12.94</v>
      </c>
      <c r="AX45">
        <v>7.68</v>
      </c>
    </row>
    <row r="46" spans="1:50">
      <c r="A46">
        <v>8</v>
      </c>
      <c r="D46">
        <v>2759.65</v>
      </c>
      <c r="I46">
        <f t="shared" si="35"/>
        <v>2483.6849999999999</v>
      </c>
      <c r="J46">
        <f t="shared" si="30"/>
        <v>2345.7024999999999</v>
      </c>
      <c r="K46">
        <f t="shared" si="30"/>
        <v>3035.6150000000002</v>
      </c>
      <c r="L46">
        <f t="shared" si="30"/>
        <v>3173.5974999999999</v>
      </c>
      <c r="M46" s="35">
        <v>44469</v>
      </c>
      <c r="N46" s="33">
        <v>300</v>
      </c>
      <c r="O46" s="33">
        <v>2500</v>
      </c>
      <c r="P46" s="33"/>
      <c r="Q46" s="33">
        <v>9</v>
      </c>
      <c r="R46" s="33"/>
      <c r="S46" s="33">
        <v>133990</v>
      </c>
      <c r="T46" s="33">
        <v>0</v>
      </c>
      <c r="U46" s="33">
        <f t="shared" si="31"/>
        <v>0</v>
      </c>
      <c r="V46" s="33">
        <f t="shared" si="32"/>
        <v>0</v>
      </c>
      <c r="W46" s="33">
        <f t="shared" si="29"/>
        <v>0</v>
      </c>
      <c r="X46" s="34">
        <f t="shared" si="33"/>
        <v>2.0150757519217851E-2</v>
      </c>
      <c r="Y46" s="33">
        <f t="shared" ca="1" si="34"/>
        <v>1.9583333333333333</v>
      </c>
      <c r="Z46" s="33">
        <f t="shared" ca="1" si="27"/>
        <v>-715</v>
      </c>
      <c r="AA46" s="34">
        <f t="shared" ca="1" si="28"/>
        <v>1.0289748520451669E-2</v>
      </c>
      <c r="AK46" t="s">
        <v>375</v>
      </c>
      <c r="AL46" s="40">
        <v>955</v>
      </c>
      <c r="AM46" s="40">
        <v>956.6</v>
      </c>
      <c r="AN46">
        <v>948.3</v>
      </c>
      <c r="AO46" s="40">
        <v>949.95</v>
      </c>
      <c r="AP46">
        <v>-3.2</v>
      </c>
      <c r="AQ46">
        <v>-0.34</v>
      </c>
      <c r="AR46">
        <v>20.38</v>
      </c>
      <c r="AS46">
        <v>193.72</v>
      </c>
      <c r="AT46" s="40">
        <v>997</v>
      </c>
      <c r="AU46">
        <v>706.5</v>
      </c>
      <c r="AV46">
        <v>31.64</v>
      </c>
      <c r="AW46">
        <v>6.95</v>
      </c>
      <c r="AX46">
        <v>12.51</v>
      </c>
    </row>
    <row r="47" spans="1:50">
      <c r="A47">
        <v>9</v>
      </c>
      <c r="D47">
        <v>1577.55</v>
      </c>
      <c r="I47">
        <f t="shared" si="35"/>
        <v>1419.7950000000001</v>
      </c>
      <c r="J47">
        <f t="shared" si="30"/>
        <v>1340.9175</v>
      </c>
      <c r="K47">
        <f t="shared" si="30"/>
        <v>1735.3050000000001</v>
      </c>
      <c r="L47">
        <f t="shared" si="30"/>
        <v>1814.1824999999999</v>
      </c>
      <c r="M47" s="35">
        <v>44469</v>
      </c>
      <c r="N47" s="33">
        <v>550</v>
      </c>
      <c r="O47" s="33">
        <v>1400</v>
      </c>
      <c r="P47" s="33"/>
      <c r="Q47" s="33">
        <v>6.65</v>
      </c>
      <c r="R47" s="33"/>
      <c r="S47" s="33">
        <v>90873</v>
      </c>
      <c r="T47" s="33">
        <v>0</v>
      </c>
      <c r="U47" s="33">
        <f t="shared" si="31"/>
        <v>0</v>
      </c>
      <c r="V47" s="33">
        <f t="shared" si="32"/>
        <v>0</v>
      </c>
      <c r="W47" s="33">
        <f t="shared" si="29"/>
        <v>0</v>
      </c>
      <c r="X47" s="34">
        <f t="shared" si="33"/>
        <v>4.0248478646022469E-2</v>
      </c>
      <c r="Y47" s="33">
        <f t="shared" ca="1" si="34"/>
        <v>1.9583333333333333</v>
      </c>
      <c r="Z47" s="33">
        <f t="shared" ca="1" si="27"/>
        <v>-715</v>
      </c>
      <c r="AA47" s="34">
        <f t="shared" ca="1" si="28"/>
        <v>2.0552414627756154E-2</v>
      </c>
      <c r="AK47" t="s">
        <v>427</v>
      </c>
      <c r="AL47" s="40">
        <v>1615</v>
      </c>
      <c r="AM47" s="40">
        <v>1622.65</v>
      </c>
      <c r="AN47" s="40">
        <v>1590</v>
      </c>
      <c r="AO47" s="40">
        <v>1605.6</v>
      </c>
      <c r="AP47">
        <v>-6.2</v>
      </c>
      <c r="AQ47">
        <v>-0.38</v>
      </c>
      <c r="AR47">
        <v>7.73</v>
      </c>
      <c r="AS47">
        <v>124</v>
      </c>
      <c r="AT47" s="40">
        <v>1622.65</v>
      </c>
      <c r="AU47" s="40">
        <v>675.5</v>
      </c>
      <c r="AV47">
        <v>127.1</v>
      </c>
      <c r="AW47">
        <v>7.69</v>
      </c>
      <c r="AX47">
        <v>6.57</v>
      </c>
    </row>
    <row r="48" spans="1:50">
      <c r="A48">
        <v>10</v>
      </c>
      <c r="D48">
        <v>462.05</v>
      </c>
      <c r="I48">
        <f t="shared" si="35"/>
        <v>415.84500000000003</v>
      </c>
      <c r="J48">
        <f t="shared" si="30"/>
        <v>392.74250000000001</v>
      </c>
      <c r="K48">
        <f t="shared" si="30"/>
        <v>508.25500000000005</v>
      </c>
      <c r="L48">
        <f t="shared" si="30"/>
        <v>531.35749999999996</v>
      </c>
      <c r="M48" s="35">
        <v>44469</v>
      </c>
      <c r="N48" s="33"/>
      <c r="O48" s="33"/>
      <c r="P48" s="33"/>
      <c r="Q48" s="33"/>
      <c r="R48" s="33"/>
      <c r="S48" s="33">
        <v>-1</v>
      </c>
      <c r="T48" s="33">
        <v>0</v>
      </c>
      <c r="U48" s="33">
        <f t="shared" si="31"/>
        <v>0</v>
      </c>
      <c r="V48" s="33">
        <f t="shared" si="32"/>
        <v>0</v>
      </c>
      <c r="W48" s="33">
        <f t="shared" si="29"/>
        <v>0</v>
      </c>
      <c r="X48" s="34">
        <f t="shared" si="33"/>
        <v>0</v>
      </c>
      <c r="Y48" s="33">
        <f t="shared" ca="1" si="34"/>
        <v>1.9583333333333333</v>
      </c>
      <c r="Z48" s="33">
        <f t="shared" ca="1" si="27"/>
        <v>-715</v>
      </c>
      <c r="AA48" s="34">
        <f t="shared" ca="1" si="28"/>
        <v>0</v>
      </c>
      <c r="AK48" t="s">
        <v>109</v>
      </c>
      <c r="AL48" s="40">
        <v>7889</v>
      </c>
      <c r="AM48" s="40">
        <v>7929</v>
      </c>
      <c r="AN48" s="40">
        <v>7790</v>
      </c>
      <c r="AO48" s="40">
        <v>7825.65</v>
      </c>
      <c r="AP48">
        <v>-30.8</v>
      </c>
      <c r="AQ48">
        <v>-0.39</v>
      </c>
      <c r="AR48">
        <v>1.85</v>
      </c>
      <c r="AS48">
        <v>144.94</v>
      </c>
      <c r="AT48" s="40">
        <v>8073.3</v>
      </c>
      <c r="AU48" s="40">
        <v>3753.9</v>
      </c>
      <c r="AV48">
        <v>99.93</v>
      </c>
      <c r="AW48">
        <v>6.52</v>
      </c>
      <c r="AX48">
        <v>10.73</v>
      </c>
    </row>
    <row r="49" spans="1:50">
      <c r="A49">
        <v>11</v>
      </c>
      <c r="D49">
        <v>2765.55</v>
      </c>
      <c r="I49">
        <f t="shared" si="35"/>
        <v>2488.9950000000003</v>
      </c>
      <c r="J49">
        <f t="shared" si="30"/>
        <v>2350.7175000000002</v>
      </c>
      <c r="K49">
        <f t="shared" si="30"/>
        <v>3042.1050000000005</v>
      </c>
      <c r="L49">
        <f t="shared" si="30"/>
        <v>3180.3825000000002</v>
      </c>
      <c r="M49" s="35">
        <v>44469</v>
      </c>
      <c r="N49" s="33">
        <v>300</v>
      </c>
      <c r="O49" s="33">
        <v>2500</v>
      </c>
      <c r="P49" s="33"/>
      <c r="Q49" s="33">
        <v>16</v>
      </c>
      <c r="R49" s="33"/>
      <c r="S49" s="33">
        <v>88722</v>
      </c>
      <c r="T49" s="33">
        <v>1</v>
      </c>
      <c r="U49" s="33">
        <f t="shared" si="31"/>
        <v>4800</v>
      </c>
      <c r="V49" s="33">
        <f t="shared" si="32"/>
        <v>88722</v>
      </c>
      <c r="W49" s="33">
        <f t="shared" si="29"/>
        <v>750000</v>
      </c>
      <c r="X49" s="34">
        <f t="shared" si="33"/>
        <v>5.410157570839251E-2</v>
      </c>
      <c r="Y49" s="33">
        <f t="shared" ca="1" si="34"/>
        <v>1.9583333333333333</v>
      </c>
      <c r="Z49" s="33">
        <f t="shared" ca="1" si="27"/>
        <v>-715</v>
      </c>
      <c r="AA49" s="37">
        <f t="shared" ca="1" si="28"/>
        <v>2.7626336531945114E-2</v>
      </c>
      <c r="AK49" t="s">
        <v>409</v>
      </c>
      <c r="AL49" s="40">
        <v>20369.849999999999</v>
      </c>
      <c r="AM49" s="40">
        <v>20370</v>
      </c>
      <c r="AN49" s="40">
        <v>20104.650000000001</v>
      </c>
      <c r="AO49" s="40">
        <v>20143.95</v>
      </c>
      <c r="AP49">
        <v>-86.5</v>
      </c>
      <c r="AQ49">
        <v>-0.43</v>
      </c>
      <c r="AR49">
        <v>0.3</v>
      </c>
      <c r="AS49">
        <v>60.76</v>
      </c>
      <c r="AT49" s="40">
        <v>20609.150000000001</v>
      </c>
      <c r="AU49" s="40">
        <v>15100</v>
      </c>
      <c r="AV49">
        <v>25.25</v>
      </c>
      <c r="AW49">
        <v>10.1</v>
      </c>
      <c r="AX49">
        <v>14.58</v>
      </c>
    </row>
    <row r="50" spans="1:50">
      <c r="A50">
        <v>12</v>
      </c>
      <c r="D50">
        <v>724.45</v>
      </c>
      <c r="I50">
        <f t="shared" si="35"/>
        <v>652.00500000000011</v>
      </c>
      <c r="J50">
        <f t="shared" si="30"/>
        <v>615.78250000000003</v>
      </c>
      <c r="K50">
        <f t="shared" si="30"/>
        <v>796.8950000000001</v>
      </c>
      <c r="L50">
        <f t="shared" si="30"/>
        <v>833.11749999999995</v>
      </c>
      <c r="M50" s="35">
        <v>44469</v>
      </c>
      <c r="N50" s="33"/>
      <c r="O50" s="33"/>
      <c r="P50" s="33"/>
      <c r="Q50" s="33"/>
      <c r="R50" s="33"/>
      <c r="S50" s="33">
        <v>-1</v>
      </c>
      <c r="T50" s="33">
        <v>0</v>
      </c>
      <c r="U50" s="33">
        <f t="shared" si="31"/>
        <v>0</v>
      </c>
      <c r="V50" s="33">
        <f t="shared" si="32"/>
        <v>0</v>
      </c>
      <c r="W50" s="33">
        <f t="shared" si="29"/>
        <v>0</v>
      </c>
      <c r="X50" s="34">
        <f t="shared" si="33"/>
        <v>0</v>
      </c>
      <c r="Y50" s="33">
        <f t="shared" ca="1" si="34"/>
        <v>1.9583333333333333</v>
      </c>
      <c r="Z50" s="33">
        <f t="shared" ca="1" si="27"/>
        <v>-715</v>
      </c>
      <c r="AA50" s="34">
        <f t="shared" ca="1" si="28"/>
        <v>0</v>
      </c>
      <c r="AK50" t="s">
        <v>425</v>
      </c>
      <c r="AL50">
        <v>4105.2</v>
      </c>
      <c r="AM50">
        <v>4135</v>
      </c>
      <c r="AN50">
        <v>4071.05</v>
      </c>
      <c r="AO50">
        <v>4083.7</v>
      </c>
      <c r="AP50">
        <v>-17.8</v>
      </c>
      <c r="AQ50">
        <v>-0.43</v>
      </c>
      <c r="AR50">
        <v>1.91</v>
      </c>
      <c r="AS50">
        <v>78.11</v>
      </c>
      <c r="AT50">
        <v>4153</v>
      </c>
      <c r="AU50">
        <v>3317.3</v>
      </c>
      <c r="AV50">
        <v>9.7899999999999991</v>
      </c>
      <c r="AW50">
        <v>11.72</v>
      </c>
      <c r="AX50">
        <v>8.4</v>
      </c>
    </row>
    <row r="51" spans="1:50">
      <c r="A51">
        <v>13</v>
      </c>
      <c r="D51">
        <v>1003.25</v>
      </c>
      <c r="I51">
        <f t="shared" si="35"/>
        <v>902.92500000000007</v>
      </c>
      <c r="J51">
        <f t="shared" si="30"/>
        <v>852.76249999999993</v>
      </c>
      <c r="K51">
        <f t="shared" si="30"/>
        <v>1103.575</v>
      </c>
      <c r="L51">
        <f t="shared" si="30"/>
        <v>1153.7375</v>
      </c>
      <c r="M51" s="35">
        <v>44469</v>
      </c>
      <c r="N51" s="33">
        <v>900</v>
      </c>
      <c r="O51" s="33">
        <v>900</v>
      </c>
      <c r="P51" s="33"/>
      <c r="Q51" s="33">
        <v>15</v>
      </c>
      <c r="R51" s="33"/>
      <c r="S51" s="33">
        <v>341637</v>
      </c>
      <c r="T51" s="33">
        <v>0</v>
      </c>
      <c r="U51" s="33">
        <f t="shared" si="31"/>
        <v>0</v>
      </c>
      <c r="V51" s="33">
        <f t="shared" si="32"/>
        <v>0</v>
      </c>
      <c r="W51" s="33">
        <f t="shared" si="29"/>
        <v>0</v>
      </c>
      <c r="X51" s="34">
        <f t="shared" si="33"/>
        <v>3.9515626234863321E-2</v>
      </c>
      <c r="Y51" s="33">
        <f t="shared" ca="1" si="34"/>
        <v>1.9583333333333333</v>
      </c>
      <c r="Z51" s="33">
        <f t="shared" ca="1" si="27"/>
        <v>-715</v>
      </c>
      <c r="AA51" s="34">
        <f t="shared" ca="1" si="28"/>
        <v>2.0178192119930206E-2</v>
      </c>
      <c r="AK51" t="s">
        <v>370</v>
      </c>
      <c r="AL51">
        <v>494</v>
      </c>
      <c r="AM51">
        <v>494.95</v>
      </c>
      <c r="AN51">
        <v>488.1</v>
      </c>
      <c r="AO51">
        <v>490.6</v>
      </c>
      <c r="AP51">
        <v>-2.5</v>
      </c>
      <c r="AQ51">
        <v>-0.51</v>
      </c>
      <c r="AR51">
        <v>81.77</v>
      </c>
      <c r="AS51">
        <v>400.96</v>
      </c>
      <c r="AT51">
        <v>503</v>
      </c>
      <c r="AU51">
        <v>325</v>
      </c>
      <c r="AV51">
        <v>17.61</v>
      </c>
      <c r="AW51">
        <v>5.73</v>
      </c>
      <c r="AX51">
        <v>5.3</v>
      </c>
    </row>
    <row r="52" spans="1:50">
      <c r="A52">
        <v>14</v>
      </c>
      <c r="D52">
        <v>1700.5</v>
      </c>
      <c r="I52">
        <f t="shared" si="35"/>
        <v>1530.45</v>
      </c>
      <c r="J52">
        <f t="shared" si="30"/>
        <v>1445.425</v>
      </c>
      <c r="K52">
        <f t="shared" si="30"/>
        <v>1870.5500000000002</v>
      </c>
      <c r="L52">
        <f t="shared" si="30"/>
        <v>1955.5749999999998</v>
      </c>
      <c r="M52" s="35">
        <v>44469</v>
      </c>
      <c r="N52" s="33">
        <v>600</v>
      </c>
      <c r="O52" s="33">
        <v>1500</v>
      </c>
      <c r="P52" s="33"/>
      <c r="Q52" s="33">
        <v>6.3</v>
      </c>
      <c r="R52" s="33"/>
      <c r="S52" s="33">
        <v>100187</v>
      </c>
      <c r="T52" s="33">
        <v>0</v>
      </c>
      <c r="U52" s="33">
        <f t="shared" si="31"/>
        <v>0</v>
      </c>
      <c r="V52" s="33">
        <f t="shared" si="32"/>
        <v>0</v>
      </c>
      <c r="W52" s="33">
        <f t="shared" si="29"/>
        <v>0</v>
      </c>
      <c r="X52" s="34">
        <f t="shared" si="33"/>
        <v>3.7729445936099497E-2</v>
      </c>
      <c r="Y52" s="33">
        <f t="shared" ca="1" si="34"/>
        <v>1.9583333333333333</v>
      </c>
      <c r="Z52" s="33">
        <f t="shared" ca="1" si="27"/>
        <v>-715</v>
      </c>
      <c r="AA52" s="34">
        <f t="shared" ca="1" si="28"/>
        <v>1.9266100052476341E-2</v>
      </c>
      <c r="AK52" t="s">
        <v>317</v>
      </c>
      <c r="AL52">
        <v>885</v>
      </c>
      <c r="AM52">
        <v>887.4</v>
      </c>
      <c r="AN52">
        <v>870.5</v>
      </c>
      <c r="AO52">
        <v>871.2</v>
      </c>
      <c r="AP52">
        <v>-10.1</v>
      </c>
      <c r="AQ52">
        <v>-1.1499999999999999</v>
      </c>
      <c r="AR52">
        <v>15.18</v>
      </c>
      <c r="AS52" s="40">
        <v>133.05000000000001</v>
      </c>
      <c r="AT52">
        <v>889</v>
      </c>
      <c r="AU52">
        <v>458.95</v>
      </c>
      <c r="AV52">
        <v>59.41</v>
      </c>
      <c r="AW52">
        <v>8.61</v>
      </c>
      <c r="AX52">
        <v>9.15</v>
      </c>
    </row>
    <row r="53" spans="1:50">
      <c r="A53">
        <v>15</v>
      </c>
      <c r="D53">
        <v>1790.5</v>
      </c>
      <c r="I53">
        <f t="shared" si="35"/>
        <v>1611.45</v>
      </c>
      <c r="J53">
        <f t="shared" si="30"/>
        <v>1521.925</v>
      </c>
      <c r="K53">
        <f t="shared" si="30"/>
        <v>1969.5500000000002</v>
      </c>
      <c r="L53">
        <f t="shared" si="30"/>
        <v>2059.0749999999998</v>
      </c>
      <c r="M53" s="35">
        <v>44469</v>
      </c>
      <c r="N53" s="33"/>
      <c r="O53" s="33"/>
      <c r="P53" s="33"/>
      <c r="Q53" s="33"/>
      <c r="R53" s="33"/>
      <c r="S53" s="33">
        <v>-1</v>
      </c>
      <c r="T53" s="33">
        <v>0</v>
      </c>
      <c r="U53" s="33">
        <f t="shared" si="31"/>
        <v>0</v>
      </c>
      <c r="V53" s="33">
        <f t="shared" si="32"/>
        <v>0</v>
      </c>
      <c r="W53" s="33">
        <f t="shared" si="29"/>
        <v>0</v>
      </c>
      <c r="X53" s="34">
        <f t="shared" si="33"/>
        <v>0</v>
      </c>
      <c r="Y53" s="33">
        <f t="shared" ca="1" si="34"/>
        <v>1.9583333333333333</v>
      </c>
      <c r="Z53" s="33">
        <f t="shared" ca="1" si="27"/>
        <v>-715</v>
      </c>
      <c r="AA53" s="34">
        <f t="shared" ca="1" si="28"/>
        <v>0</v>
      </c>
    </row>
    <row r="54" spans="1:50">
      <c r="A54">
        <v>16</v>
      </c>
      <c r="D54">
        <v>1174.0999999999999</v>
      </c>
      <c r="I54">
        <f t="shared" si="35"/>
        <v>1056.69</v>
      </c>
      <c r="J54">
        <f t="shared" si="30"/>
        <v>997.9849999999999</v>
      </c>
      <c r="K54">
        <f t="shared" si="30"/>
        <v>1291.51</v>
      </c>
      <c r="L54">
        <f t="shared" si="30"/>
        <v>1350.2149999999997</v>
      </c>
      <c r="M54" s="35">
        <v>44469</v>
      </c>
      <c r="N54" s="33">
        <v>600</v>
      </c>
      <c r="O54" s="33">
        <v>1000</v>
      </c>
      <c r="P54" s="33"/>
      <c r="Q54" s="33"/>
      <c r="R54" s="33"/>
      <c r="S54" s="33">
        <v>-1</v>
      </c>
      <c r="T54" s="33">
        <v>0</v>
      </c>
      <c r="U54" s="33">
        <f t="shared" si="31"/>
        <v>0</v>
      </c>
      <c r="V54" s="33">
        <f t="shared" si="32"/>
        <v>0</v>
      </c>
      <c r="W54" s="33">
        <f t="shared" si="29"/>
        <v>0</v>
      </c>
      <c r="X54" s="34">
        <f t="shared" si="33"/>
        <v>0</v>
      </c>
      <c r="Y54" s="33">
        <f t="shared" ca="1" si="34"/>
        <v>1.9583333333333333</v>
      </c>
      <c r="Z54" s="33">
        <f t="shared" ca="1" si="27"/>
        <v>-715</v>
      </c>
      <c r="AA54" s="34">
        <f t="shared" ca="1" si="28"/>
        <v>0</v>
      </c>
      <c r="AK54" t="s">
        <v>479</v>
      </c>
      <c r="AL54" t="s">
        <v>480</v>
      </c>
    </row>
    <row r="55" spans="1:50">
      <c r="A55">
        <v>17</v>
      </c>
      <c r="D55">
        <v>2392.1999999999998</v>
      </c>
      <c r="I55">
        <f t="shared" si="35"/>
        <v>2152.98</v>
      </c>
      <c r="J55">
        <f t="shared" si="30"/>
        <v>2033.37</v>
      </c>
      <c r="K55">
        <f t="shared" si="30"/>
        <v>2631.42</v>
      </c>
      <c r="L55">
        <f t="shared" si="30"/>
        <v>2751.0299999999997</v>
      </c>
      <c r="M55" s="35">
        <v>44469</v>
      </c>
      <c r="N55" s="33">
        <v>250</v>
      </c>
      <c r="O55" s="33">
        <v>2100</v>
      </c>
      <c r="P55" s="33"/>
      <c r="Q55" s="33">
        <v>14.65</v>
      </c>
      <c r="R55" s="33"/>
      <c r="S55" s="33">
        <v>74953</v>
      </c>
      <c r="T55" s="33">
        <v>1</v>
      </c>
      <c r="U55" s="33">
        <f t="shared" si="31"/>
        <v>3662.5</v>
      </c>
      <c r="V55" s="33">
        <f t="shared" si="32"/>
        <v>74953</v>
      </c>
      <c r="W55" s="33">
        <f t="shared" si="29"/>
        <v>525000</v>
      </c>
      <c r="X55" s="34">
        <f t="shared" si="33"/>
        <v>4.8863954744973515E-2</v>
      </c>
      <c r="Y55" s="33">
        <f t="shared" ca="1" si="34"/>
        <v>1.9583333333333333</v>
      </c>
      <c r="Z55" s="33">
        <f t="shared" ca="1" si="27"/>
        <v>-715</v>
      </c>
      <c r="AA55" s="37">
        <f t="shared" ca="1" si="28"/>
        <v>2.4951806678284349E-2</v>
      </c>
    </row>
    <row r="56" spans="1:50">
      <c r="A56">
        <v>18</v>
      </c>
      <c r="D56">
        <v>431.55</v>
      </c>
      <c r="I56">
        <f t="shared" si="35"/>
        <v>388.39500000000004</v>
      </c>
      <c r="J56">
        <f t="shared" si="30"/>
        <v>366.8175</v>
      </c>
      <c r="K56">
        <f t="shared" si="30"/>
        <v>474.70500000000004</v>
      </c>
      <c r="L56">
        <f t="shared" si="30"/>
        <v>496.28249999999997</v>
      </c>
      <c r="M56" s="35">
        <v>44469</v>
      </c>
      <c r="N56" s="33">
        <v>1500</v>
      </c>
      <c r="O56" s="33">
        <v>380</v>
      </c>
      <c r="P56" s="33"/>
      <c r="Q56" s="33">
        <v>3.45</v>
      </c>
      <c r="R56" s="33"/>
      <c r="S56" s="33">
        <v>145024</v>
      </c>
      <c r="T56" s="33">
        <v>0</v>
      </c>
      <c r="U56" s="33">
        <f t="shared" si="31"/>
        <v>0</v>
      </c>
      <c r="V56" s="33">
        <f t="shared" si="32"/>
        <v>0</v>
      </c>
      <c r="W56" s="33">
        <f t="shared" si="29"/>
        <v>0</v>
      </c>
      <c r="X56" s="34">
        <f t="shared" si="33"/>
        <v>3.5683748896734334E-2</v>
      </c>
      <c r="Y56" s="33">
        <f t="shared" ca="1" si="34"/>
        <v>1.9583333333333333</v>
      </c>
      <c r="Z56" s="33">
        <f t="shared" ca="1" si="27"/>
        <v>-715</v>
      </c>
      <c r="AA56" s="34">
        <f t="shared" ca="1" si="28"/>
        <v>1.8221488798332425E-2</v>
      </c>
    </row>
    <row r="57" spans="1:50">
      <c r="A57">
        <v>19</v>
      </c>
      <c r="D57">
        <v>3845.65</v>
      </c>
      <c r="I57">
        <f t="shared" si="35"/>
        <v>3461.085</v>
      </c>
      <c r="J57">
        <f t="shared" si="30"/>
        <v>3268.8024999999998</v>
      </c>
      <c r="K57">
        <f t="shared" si="30"/>
        <v>4230.2150000000001</v>
      </c>
      <c r="L57">
        <f t="shared" si="30"/>
        <v>4422.4974999999995</v>
      </c>
      <c r="M57" s="35">
        <v>44469</v>
      </c>
      <c r="N57" s="33">
        <v>300</v>
      </c>
      <c r="O57" s="33">
        <v>3400</v>
      </c>
      <c r="P57" s="33"/>
      <c r="Q57" s="33">
        <v>14.1</v>
      </c>
      <c r="R57" s="33"/>
      <c r="S57" s="33">
        <v>133676</v>
      </c>
      <c r="T57" s="33">
        <v>0</v>
      </c>
      <c r="U57" s="33">
        <f t="shared" si="31"/>
        <v>0</v>
      </c>
      <c r="V57" s="33">
        <f t="shared" si="32"/>
        <v>0</v>
      </c>
      <c r="W57" s="33">
        <f t="shared" si="29"/>
        <v>0</v>
      </c>
      <c r="X57" s="34">
        <f t="shared" si="33"/>
        <v>3.1643675753313984E-2</v>
      </c>
      <c r="Y57" s="33">
        <f t="shared" ca="1" si="34"/>
        <v>1.9583333333333333</v>
      </c>
      <c r="Z57" s="33">
        <f t="shared" ca="1" si="27"/>
        <v>-715</v>
      </c>
      <c r="AA57" s="34">
        <f t="shared" ca="1" si="28"/>
        <v>1.6158472725096504E-2</v>
      </c>
    </row>
    <row r="58" spans="1:50">
      <c r="A58">
        <v>20</v>
      </c>
      <c r="D58">
        <v>7926</v>
      </c>
      <c r="I58">
        <f t="shared" si="35"/>
        <v>7133.4000000000005</v>
      </c>
      <c r="J58">
        <f t="shared" si="30"/>
        <v>6737.0999999999995</v>
      </c>
      <c r="K58">
        <f t="shared" si="30"/>
        <v>8718.6</v>
      </c>
      <c r="L58">
        <f t="shared" si="30"/>
        <v>9114.9</v>
      </c>
      <c r="M58" s="35">
        <v>44469</v>
      </c>
      <c r="N58" s="33"/>
      <c r="O58" s="33"/>
      <c r="P58" s="33"/>
      <c r="Q58" s="33"/>
      <c r="R58" s="33"/>
      <c r="S58" s="33">
        <v>-1</v>
      </c>
      <c r="T58" s="33"/>
      <c r="U58" s="33">
        <f t="shared" si="31"/>
        <v>0</v>
      </c>
      <c r="V58" s="33">
        <f t="shared" si="32"/>
        <v>0</v>
      </c>
      <c r="W58" s="33">
        <f t="shared" si="29"/>
        <v>0</v>
      </c>
      <c r="X58" s="34">
        <f t="shared" si="33"/>
        <v>0</v>
      </c>
      <c r="Y58" s="33">
        <f t="shared" ca="1" si="34"/>
        <v>1.9583333333333333</v>
      </c>
      <c r="Z58" s="33">
        <f t="shared" ca="1" si="27"/>
        <v>-715</v>
      </c>
      <c r="AA58" s="34">
        <f t="shared" ca="1" si="28"/>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1" filterMode="1"/>
  <dimension ref="A1:CE434"/>
  <sheetViews>
    <sheetView zoomScale="85" zoomScaleNormal="85" workbookViewId="0">
      <pane ySplit="7" topLeftCell="A8" activePane="bottomLeft" state="frozen"/>
      <selection pane="bottomLeft" activeCell="I387" sqref="I387"/>
    </sheetView>
  </sheetViews>
  <sheetFormatPr defaultRowHeight="15.75"/>
  <cols>
    <col min="1" max="1" width="5.28515625" style="11" customWidth="1"/>
    <col min="2" max="2" width="13.85546875" style="11" bestFit="1" customWidth="1"/>
    <col min="3" max="4" width="5.5703125" style="22" customWidth="1"/>
    <col min="5" max="5" width="8" style="22" customWidth="1"/>
    <col min="6" max="6" width="13.28515625" style="11" customWidth="1"/>
    <col min="7" max="7" width="11.7109375" style="11" bestFit="1" customWidth="1"/>
    <col min="8" max="8" width="11.140625" style="11" customWidth="1"/>
    <col min="9" max="10" width="11.7109375" style="11" bestFit="1" customWidth="1"/>
    <col min="11" max="11" width="10.85546875" style="11" bestFit="1" customWidth="1"/>
    <col min="12" max="13" width="17.85546875" style="11" customWidth="1"/>
    <col min="14" max="14" width="15" style="11" hidden="1" customWidth="1"/>
    <col min="15" max="15" width="13.140625" style="11" bestFit="1" customWidth="1"/>
    <col min="16" max="16" width="14.42578125" style="11" bestFit="1" customWidth="1"/>
    <col min="17" max="17" width="14.5703125" style="11" bestFit="1" customWidth="1"/>
    <col min="18" max="18" width="15.42578125" style="11" customWidth="1"/>
    <col min="19" max="19" width="11.7109375" style="11" bestFit="1" customWidth="1"/>
    <col min="20" max="20" width="16.42578125" style="11" bestFit="1" customWidth="1"/>
    <col min="21" max="21" width="10.85546875" style="11" bestFit="1" customWidth="1"/>
    <col min="22" max="22" width="24" style="11" bestFit="1" customWidth="1"/>
    <col min="23" max="23" width="12.140625" style="11" bestFit="1" customWidth="1"/>
    <col min="24" max="24" width="14.42578125" style="11" bestFit="1" customWidth="1"/>
    <col min="25" max="25" width="14.42578125" style="11" customWidth="1"/>
    <col min="26" max="26" width="13.5703125" style="11" customWidth="1"/>
    <col min="27" max="27" width="12.28515625" style="11" customWidth="1"/>
    <col min="28" max="28" width="7.140625" style="11" customWidth="1"/>
    <col min="29" max="29" width="7.28515625" style="11" customWidth="1"/>
    <col min="30" max="30" width="11.7109375" style="11" customWidth="1"/>
    <col min="31" max="37" width="11.7109375" style="11" bestFit="1" customWidth="1"/>
    <col min="38" max="38" width="11.7109375" style="140" bestFit="1" customWidth="1"/>
    <col min="39" max="42" width="12.42578125" style="11" bestFit="1" customWidth="1"/>
    <col min="43" max="45" width="10.85546875" style="11" bestFit="1" customWidth="1"/>
    <col min="46" max="46" width="10.85546875" style="108" bestFit="1" customWidth="1"/>
    <col min="47" max="52" width="10.85546875" style="11" bestFit="1" customWidth="1"/>
    <col min="53" max="59" width="12.42578125" style="11" bestFit="1" customWidth="1"/>
    <col min="60" max="60" width="9.140625" style="11"/>
    <col min="61" max="61" width="21.140625" style="11" bestFit="1" customWidth="1"/>
    <col min="62" max="62" width="16.28515625" style="11" bestFit="1" customWidth="1"/>
    <col min="63" max="63" width="10.28515625" style="11" customWidth="1"/>
    <col min="64" max="64" width="9.28515625" style="11" customWidth="1"/>
    <col min="65" max="65" width="7.140625" style="11" customWidth="1"/>
    <col min="66" max="66" width="13.5703125" style="11" bestFit="1" customWidth="1"/>
    <col min="67" max="67" width="12.28515625" style="11" customWidth="1"/>
    <col min="68" max="68" width="10.28515625" style="11" customWidth="1"/>
    <col min="69" max="69" width="8.140625" style="11" customWidth="1"/>
    <col min="70" max="70" width="10.28515625" style="11" bestFit="1" customWidth="1"/>
    <col min="71" max="71" width="13.140625" style="11" bestFit="1" customWidth="1"/>
    <col min="72" max="72" width="12.28515625" style="11" bestFit="1" customWidth="1"/>
    <col min="73" max="73" width="11.28515625" style="11" bestFit="1" customWidth="1"/>
    <col min="74" max="16384" width="9.140625" style="11"/>
  </cols>
  <sheetData>
    <row r="1" spans="1:83">
      <c r="BI1"/>
      <c r="BJ1" s="172" t="s">
        <v>645</v>
      </c>
      <c r="BK1"/>
      <c r="BL1"/>
      <c r="BM1"/>
      <c r="BN1"/>
      <c r="BO1"/>
      <c r="BP1"/>
      <c r="BQ1"/>
      <c r="BR1"/>
      <c r="BS1"/>
      <c r="BT1"/>
      <c r="BU1"/>
    </row>
    <row r="2" spans="1:83" ht="30">
      <c r="B2" s="150">
        <f ca="1">TODAY()</f>
        <v>45184</v>
      </c>
      <c r="E2" s="179" t="s">
        <v>651</v>
      </c>
      <c r="F2" s="180"/>
      <c r="G2" s="130" t="s">
        <v>52</v>
      </c>
      <c r="H2" s="179" t="s">
        <v>604</v>
      </c>
      <c r="I2" s="180"/>
      <c r="J2" s="179" t="s">
        <v>611</v>
      </c>
      <c r="K2" s="180"/>
      <c r="L2" s="130" t="s">
        <v>117</v>
      </c>
      <c r="M2" s="130" t="s">
        <v>650</v>
      </c>
      <c r="O2" s="157" t="s">
        <v>629</v>
      </c>
      <c r="P2" s="157" t="s">
        <v>642</v>
      </c>
      <c r="R2" s="173" t="s">
        <v>649</v>
      </c>
      <c r="S2" s="174" t="str">
        <f>BJ2</f>
        <v>BANKNIFTY</v>
      </c>
      <c r="T2" s="174" t="str">
        <f t="shared" ref="T2:AF2" si="0">BK2</f>
        <v>IEX</v>
      </c>
      <c r="U2" s="174" t="str">
        <f t="shared" si="0"/>
        <v>NIFTY</v>
      </c>
      <c r="V2" s="174" t="str">
        <f t="shared" si="0"/>
        <v>SRF</v>
      </c>
      <c r="W2" s="174" t="str">
        <f t="shared" si="0"/>
        <v>TATAMOTORS</v>
      </c>
      <c r="X2" s="174" t="str">
        <f t="shared" si="0"/>
        <v>TATAPOWER</v>
      </c>
      <c r="Y2" s="174" t="str">
        <f t="shared" si="0"/>
        <v>TCS</v>
      </c>
      <c r="Z2" s="174" t="str">
        <f t="shared" si="0"/>
        <v>LT</v>
      </c>
      <c r="AA2" s="174" t="str">
        <f t="shared" si="0"/>
        <v>MINDTREE</v>
      </c>
      <c r="AB2" s="174" t="str">
        <f t="shared" si="0"/>
        <v>BALRAMCHIN</v>
      </c>
      <c r="AC2" s="174" t="str">
        <f t="shared" si="0"/>
        <v>HINDUNILVR</v>
      </c>
      <c r="AD2" s="174" t="str">
        <f t="shared" si="0"/>
        <v>Grand Total</v>
      </c>
      <c r="AE2" s="174">
        <f t="shared" si="0"/>
        <v>0</v>
      </c>
      <c r="AF2" s="174">
        <f t="shared" si="0"/>
        <v>0</v>
      </c>
      <c r="BI2"/>
      <c r="BJ2" t="s">
        <v>506</v>
      </c>
      <c r="BK2" t="s">
        <v>126</v>
      </c>
      <c r="BL2" t="s">
        <v>502</v>
      </c>
      <c r="BM2" t="s">
        <v>390</v>
      </c>
      <c r="BN2" t="s">
        <v>284</v>
      </c>
      <c r="BO2" t="s">
        <v>130</v>
      </c>
      <c r="BP2" t="s">
        <v>90</v>
      </c>
      <c r="BQ2" t="s">
        <v>399</v>
      </c>
      <c r="BR2" t="s">
        <v>381</v>
      </c>
      <c r="BS2" t="s">
        <v>681</v>
      </c>
      <c r="BT2" t="s">
        <v>104</v>
      </c>
      <c r="BU2" t="s">
        <v>646</v>
      </c>
    </row>
    <row r="3" spans="1:83">
      <c r="E3" s="181">
        <f ca="1">SUM(L8:L837)</f>
        <v>0</v>
      </c>
      <c r="F3" s="182"/>
      <c r="G3" s="98">
        <f ca="1">E3/AVERAGEIF(P8:P837,"&gt;0",P8:P837)</f>
        <v>0</v>
      </c>
      <c r="H3" s="183">
        <f ca="1">J3+E3</f>
        <v>189645</v>
      </c>
      <c r="I3" s="184"/>
      <c r="J3" s="183">
        <f>SUMIFS($P8:$P837,$C8:$C837,"S",$K8:$K837,0,$E8:$E837,"&lt;&gt;FUT")-SUMIFS($P8:$P837,$C8:$C837,"B",$K8:$K837,0,$E8:$E837,"&lt;&gt;FUT")</f>
        <v>189645</v>
      </c>
      <c r="K3" s="184"/>
      <c r="L3" s="165">
        <v>5861144.2199999997</v>
      </c>
      <c r="M3" s="165">
        <f>SUM(M8:M837)</f>
        <v>165071.49999999974</v>
      </c>
      <c r="O3" s="98">
        <f>J3/L3</f>
        <v>3.2356310113113032E-2</v>
      </c>
      <c r="P3" s="98">
        <f ca="1">H3/L3</f>
        <v>3.2356310113113032E-2</v>
      </c>
      <c r="Q3" s="100"/>
      <c r="R3" s="12" t="s">
        <v>648</v>
      </c>
      <c r="S3" s="171">
        <f>BJ3/100000</f>
        <v>196.43199999999999</v>
      </c>
      <c r="T3" s="171">
        <f t="shared" ref="T3:AF3" si="1">BK3/100000</f>
        <v>95.124375000000001</v>
      </c>
      <c r="U3" s="171">
        <f t="shared" si="1"/>
        <v>220.68055000000001</v>
      </c>
      <c r="V3" s="171">
        <f t="shared" si="1"/>
        <v>9.2624999999999993</v>
      </c>
      <c r="W3" s="171">
        <f t="shared" si="1"/>
        <v>166.632375</v>
      </c>
      <c r="X3" s="171">
        <f t="shared" si="1"/>
        <v>441.142875</v>
      </c>
      <c r="Y3" s="171">
        <f t="shared" si="1"/>
        <v>52.348365000000001</v>
      </c>
      <c r="Z3" s="171">
        <f t="shared" si="1"/>
        <v>58.62818</v>
      </c>
      <c r="AA3" s="171">
        <f t="shared" si="1"/>
        <v>7.13</v>
      </c>
      <c r="AB3" s="171">
        <f t="shared" si="1"/>
        <v>12.592000000000001</v>
      </c>
      <c r="AC3" s="171">
        <f t="shared" si="1"/>
        <v>13.797000000000001</v>
      </c>
      <c r="AD3" s="171">
        <f t="shared" si="1"/>
        <v>1273.7702200000001</v>
      </c>
      <c r="AE3" s="171">
        <f t="shared" si="1"/>
        <v>0</v>
      </c>
      <c r="AF3" s="171">
        <f t="shared" si="1"/>
        <v>0</v>
      </c>
      <c r="BI3" t="s">
        <v>647</v>
      </c>
      <c r="BJ3">
        <v>19643200</v>
      </c>
      <c r="BK3">
        <v>9512437.5</v>
      </c>
      <c r="BL3">
        <v>22068055</v>
      </c>
      <c r="BM3">
        <v>926250</v>
      </c>
      <c r="BN3">
        <v>16663237.5</v>
      </c>
      <c r="BO3">
        <v>44114287.5</v>
      </c>
      <c r="BP3">
        <v>5234836.5</v>
      </c>
      <c r="BQ3">
        <v>5862818</v>
      </c>
      <c r="BR3">
        <v>713000</v>
      </c>
      <c r="BS3">
        <v>1259200</v>
      </c>
      <c r="BT3">
        <v>1379700</v>
      </c>
      <c r="BU3">
        <v>127377022</v>
      </c>
    </row>
    <row r="4" spans="1:83">
      <c r="P4" s="169"/>
      <c r="U4" s="152"/>
      <c r="V4" s="152"/>
      <c r="BI4"/>
      <c r="BJ4"/>
      <c r="BK4"/>
    </row>
    <row r="5" spans="1:83">
      <c r="H5" s="107"/>
      <c r="U5" s="29"/>
      <c r="V5" s="29"/>
      <c r="W5" s="29"/>
    </row>
    <row r="6" spans="1:83">
      <c r="D6" s="116">
        <f ca="1">IF(AND(MONTH($B$2)=MONTH(H6),K6=0),1,0)</f>
        <v>0</v>
      </c>
      <c r="O6" s="149">
        <v>0.25</v>
      </c>
      <c r="P6" s="149" t="e">
        <f>SUM(IF(ISERROR(P8:P216),"",P8:P216))</f>
        <v>#VALUE!</v>
      </c>
      <c r="Q6" s="149" t="e">
        <f>SUM(IF(ISERROR(Q8:Q500),"",Q8:Q50))</f>
        <v>#VALUE!</v>
      </c>
      <c r="R6" s="149" t="e">
        <f>SUM(IF(ISERROR(R8:R500),"",R8:R50))</f>
        <v>#VALUE!</v>
      </c>
      <c r="S6" s="11">
        <v>0.9</v>
      </c>
      <c r="X6" s="149">
        <f t="array" aca="1" ref="X6" ca="1">SUM(IF(ISERROR(X8:X15000),"",X8:X15000))</f>
        <v>0</v>
      </c>
      <c r="Y6" s="149"/>
      <c r="Z6" s="149">
        <f t="array" aca="1" ref="Z6" ca="1">SUM(IF(ISERROR(Z8:Z15000),"",Z8:Z15000))</f>
        <v>0</v>
      </c>
      <c r="AA6" s="149">
        <f t="array" aca="1" ref="AA6" ca="1">SUM(IF(ISERROR(AA8:AA15000),"",AA8:AA15000))</f>
        <v>0</v>
      </c>
      <c r="AB6" s="149">
        <f t="array" aca="1" ref="AB6" ca="1">SUM(IF(ISERROR(AB8:AB15000),"",AB8:AB15000))</f>
        <v>0</v>
      </c>
      <c r="AC6" s="18">
        <v>0.2</v>
      </c>
    </row>
    <row r="7" spans="1:83">
      <c r="A7" s="118">
        <v>0</v>
      </c>
      <c r="B7" s="118" t="s">
        <v>19</v>
      </c>
      <c r="C7" s="118" t="s">
        <v>1</v>
      </c>
      <c r="D7" s="118" t="s">
        <v>643</v>
      </c>
      <c r="E7" s="12" t="s">
        <v>540</v>
      </c>
      <c r="F7" s="118" t="s">
        <v>21</v>
      </c>
      <c r="G7" s="130" t="s">
        <v>22</v>
      </c>
      <c r="H7" s="130" t="s">
        <v>78</v>
      </c>
      <c r="I7" s="130" t="s">
        <v>483</v>
      </c>
      <c r="J7" s="130" t="s">
        <v>23</v>
      </c>
      <c r="K7" s="130" t="s">
        <v>49</v>
      </c>
      <c r="L7" s="130" t="s">
        <v>651</v>
      </c>
      <c r="M7" s="130" t="s">
        <v>650</v>
      </c>
      <c r="N7" s="130" t="s">
        <v>50</v>
      </c>
      <c r="O7" s="130" t="s">
        <v>614</v>
      </c>
      <c r="P7" s="130" t="s">
        <v>20</v>
      </c>
      <c r="Q7" s="130" t="s">
        <v>626</v>
      </c>
      <c r="R7" s="12" t="s">
        <v>644</v>
      </c>
      <c r="S7" s="130" t="s">
        <v>628</v>
      </c>
      <c r="T7" s="130" t="s">
        <v>548</v>
      </c>
      <c r="U7" s="130" t="s">
        <v>505</v>
      </c>
      <c r="V7" s="130"/>
      <c r="W7" s="130" t="s">
        <v>487</v>
      </c>
      <c r="X7" s="130" t="s">
        <v>503</v>
      </c>
      <c r="Y7" s="130" t="s">
        <v>756</v>
      </c>
      <c r="Z7" s="130" t="s">
        <v>755</v>
      </c>
      <c r="AA7" s="130" t="s">
        <v>75</v>
      </c>
      <c r="AB7" s="130" t="s">
        <v>77</v>
      </c>
      <c r="AC7" s="130" t="s">
        <v>537</v>
      </c>
      <c r="AD7" s="12" t="s">
        <v>549</v>
      </c>
      <c r="AE7" s="130" t="s">
        <v>5</v>
      </c>
      <c r="AF7" s="130" t="s">
        <v>14</v>
      </c>
      <c r="AG7" s="130" t="s">
        <v>9</v>
      </c>
      <c r="AH7" s="130" t="s">
        <v>10</v>
      </c>
      <c r="AI7" s="130" t="s">
        <v>11</v>
      </c>
      <c r="AJ7" s="130" t="s">
        <v>12</v>
      </c>
      <c r="AK7" s="12" t="s">
        <v>53</v>
      </c>
      <c r="AL7" s="141" t="s">
        <v>564</v>
      </c>
      <c r="AM7" s="138">
        <v>-0.03</v>
      </c>
      <c r="AN7" s="139" t="e">
        <f>AM7+#REF!</f>
        <v>#REF!</v>
      </c>
      <c r="AO7" s="139" t="e">
        <f>AN7+#REF!</f>
        <v>#REF!</v>
      </c>
      <c r="AP7" s="139" t="e">
        <f>AO7+#REF!</f>
        <v>#REF!</v>
      </c>
      <c r="AQ7" s="139" t="e">
        <f>AP7+#REF!</f>
        <v>#REF!</v>
      </c>
      <c r="AR7" s="139" t="e">
        <f>AQ7+#REF!</f>
        <v>#REF!</v>
      </c>
      <c r="AS7" s="139" t="e">
        <f>AR7+#REF!</f>
        <v>#REF!</v>
      </c>
      <c r="AT7" s="139" t="e">
        <f>AS7+#REF!</f>
        <v>#REF!</v>
      </c>
      <c r="AU7" s="139" t="e">
        <f>AT7+#REF!</f>
        <v>#REF!</v>
      </c>
      <c r="AV7" s="139" t="e">
        <f>AU7+#REF!</f>
        <v>#REF!</v>
      </c>
      <c r="AW7" s="139" t="e">
        <f>AV7+#REF!</f>
        <v>#REF!</v>
      </c>
      <c r="AX7" s="139" t="e">
        <f>AW7+#REF!</f>
        <v>#REF!</v>
      </c>
      <c r="AY7" s="139" t="e">
        <f>AX7+#REF!</f>
        <v>#REF!</v>
      </c>
      <c r="AZ7" s="139" t="e">
        <f>AY7+#REF!</f>
        <v>#REF!</v>
      </c>
      <c r="BA7" s="139" t="e">
        <f>AZ7+#REF!</f>
        <v>#REF!</v>
      </c>
      <c r="BB7" s="139" t="e">
        <f>BA7+#REF!</f>
        <v>#REF!</v>
      </c>
      <c r="BC7" s="139" t="e">
        <f>BB7+#REF!</f>
        <v>#REF!</v>
      </c>
      <c r="BD7" s="139" t="e">
        <f>BC7+#REF!</f>
        <v>#REF!</v>
      </c>
      <c r="BE7" s="139" t="e">
        <f>BD7+#REF!</f>
        <v>#REF!</v>
      </c>
      <c r="BF7" s="139" t="e">
        <f>BE7+#REF!</f>
        <v>#REF!</v>
      </c>
      <c r="BG7" s="139" t="e">
        <f>BF7+#REF!</f>
        <v>#REF!</v>
      </c>
      <c r="BH7" s="136"/>
      <c r="BI7" s="136"/>
      <c r="BJ7" s="136"/>
    </row>
    <row r="8" spans="1:83" s="114" customFormat="1" ht="15" hidden="1" customHeight="1">
      <c r="A8" s="13">
        <f>A7+1</f>
        <v>1</v>
      </c>
      <c r="B8" s="123">
        <v>44585</v>
      </c>
      <c r="C8" s="116" t="s">
        <v>8</v>
      </c>
      <c r="D8" s="116">
        <v>1</v>
      </c>
      <c r="E8" s="115" t="s">
        <v>482</v>
      </c>
      <c r="F8" s="116" t="s">
        <v>502</v>
      </c>
      <c r="G8" s="115">
        <v>15300</v>
      </c>
      <c r="H8" s="117">
        <v>44616</v>
      </c>
      <c r="I8" s="115">
        <v>500</v>
      </c>
      <c r="J8" s="115">
        <v>36.409999999999997</v>
      </c>
      <c r="K8" s="115">
        <v>0.55000000000000004</v>
      </c>
      <c r="L8" s="119">
        <f ca="1">IF(AND(K8&lt;&gt;0,I8&lt;&gt;0),(IF(C8="B",1,-1))*(K8-J8)*I8-AK8*2,0)*$D8*IF(MONTH($B$2)=MONTH($H8),1,0)</f>
        <v>0</v>
      </c>
      <c r="M8" s="119">
        <f>IF(AND(K8&lt;&gt;0,I8&lt;&gt;0),(IF(C8="B",1,-1))*(K8-J8)*I8-AK8*2,0)*$D8</f>
        <v>17930</v>
      </c>
      <c r="N8" s="115">
        <f t="shared" ref="N8" si="2">K8/$J8</f>
        <v>1.5105740181268885E-2</v>
      </c>
      <c r="O8" s="156">
        <f t="shared" ref="O8" si="3">J8*(1+$O$6*IF(C8="B",-1,1))</f>
        <v>45.512499999999996</v>
      </c>
      <c r="P8" s="160">
        <f>$J8*$I8*$D8</f>
        <v>18205</v>
      </c>
      <c r="Q8" s="160" t="e">
        <f t="shared" ref="Q8" si="4">(W8-J8)*I8*IF(C8="B",1,-1)*IF(K8=0,1,0)</f>
        <v>#N/A</v>
      </c>
      <c r="R8" s="153" t="e">
        <f ca="1">Z8*T8</f>
        <v>#VALUE!</v>
      </c>
      <c r="S8" s="119">
        <f t="shared" ref="S8" si="5">(1-$S$6)*J8</f>
        <v>3.6409999999999987</v>
      </c>
      <c r="T8" s="115" t="str">
        <f>VLOOKUP(TRIM($F8),Reference!B:C,2,0)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8" s="170">
        <f ca="1">AC8</f>
        <v>0</v>
      </c>
      <c r="V8" s="120" t="str">
        <f t="shared" ref="V8:V71" si="6">TRIM(F8)&amp;TEXT(H8,"YY")&amp;UPPER(TEXT(H8,"MMM"))&amp;TRIM(G8)&amp;TRIM(E8)</f>
        <v>NIFTY22FEB15300PE</v>
      </c>
      <c r="W8" s="158" t="e">
        <f>VLOOKUP($V8,Reference!BA:BD,4,0)</f>
        <v>#N/A</v>
      </c>
      <c r="X8" s="160">
        <f t="shared" ref="X8:X71" ca="1" si="7">IF(OR($AD8&lt;0,$K8&lt;&gt;0),0,IF($E8="FUT",W8,OptionPrice(LEFT($E8),$T8,$G8,$AD8,RISKFREE_RATE,$U8,NIFTY_DIVYLD))*IF(C8="B",1,-1)*IF(I8=0,0,1)*IF(K8=0,1,0)*I8)</f>
        <v>0</v>
      </c>
      <c r="Y8" s="160">
        <f t="shared" ref="Y8:Y71" ca="1" si="8">IF(OR($AD8&lt;0,$K8&lt;&gt;0),0,IF($E8="FUT",1,OptionDelta(LEFT(E8),T8,G8,AD8,RISKFREE_RATE,U8,NIFTY_DIVYLD)))</f>
        <v>0</v>
      </c>
      <c r="Z8" s="160">
        <f ca="1">Y8*IF(C8="B",1,-1)*IF(I8=0,0,1)*IF(K8=0,1,0)*I8</f>
        <v>0</v>
      </c>
      <c r="AA8" s="160">
        <f t="shared" ref="AA8:AA71" ca="1" si="9">IF(OR($AD8&lt;0,$K8&lt;&gt;0),0,IF($E8="FUT",0,OptionTheta(LEFT(E8),T8,G8,AD8,RISKFREE_RATE,U8,NIFTY_DIVYLD))*IF(C8="B",1,-1)*IF(I8=0,0,1)*IF(K8=0,1,0)*I8)</f>
        <v>0</v>
      </c>
      <c r="AB8" s="160">
        <f t="shared" ref="AB8:AB71" ca="1" si="10">IF(OR($AD8&lt;0,$K8&lt;&gt;0),0,IF($E8="FUT",0,OptionGamma(T8,G8,AD8,RISKFREE_RATE,U8,NIFTY_DIVYLD))*IF(C8="B",1,-1)*IF(I8=0,0,1)*IF(K8=0,1,0))</f>
        <v>0</v>
      </c>
      <c r="AC8" s="119">
        <f t="shared" ref="AC8:AC71" ca="1" si="11">IF(OR($AD8&lt;0,$K8&lt;&gt;0),0,IF($E8="FUT",0,ImpliedVolatility(LEFT(E8),T8,G8,RISKFREE_RATE,AD8,NIFTY_DIVYLD,W8,$AC$6)))</f>
        <v>0</v>
      </c>
      <c r="AD8" s="115">
        <f t="shared" ref="AD8" ca="1" si="12">(H8-TODAY())/365</f>
        <v>-1.5561643835616439</v>
      </c>
      <c r="AE8" s="115">
        <f t="shared" ref="AE8" si="13">IF(I8&lt;&gt;0,20,0)</f>
        <v>20</v>
      </c>
      <c r="AF8" s="115"/>
      <c r="AG8" s="115"/>
      <c r="AH8" s="115">
        <f t="shared" ref="AH8:AH86" si="14">0.05%*$P8*(IF($C8="B",0,1))</f>
        <v>9.1025000000000009</v>
      </c>
      <c r="AI8" s="115"/>
      <c r="AJ8" s="115">
        <f t="shared" ref="AJ8:AJ86" si="15">300/10000000*$P8*(IF($C8="B",1,0))</f>
        <v>0</v>
      </c>
      <c r="AK8" s="115"/>
      <c r="AL8" s="137">
        <v>1</v>
      </c>
      <c r="AM8" s="154"/>
      <c r="AN8" s="154"/>
      <c r="AO8" s="154"/>
      <c r="AP8" s="154"/>
      <c r="AQ8" s="154"/>
      <c r="AR8" s="154"/>
      <c r="AS8" s="154"/>
      <c r="AT8" s="154"/>
      <c r="AU8" s="154"/>
      <c r="AV8" s="154"/>
      <c r="AW8" s="154"/>
      <c r="AX8" s="154"/>
      <c r="AY8" s="154"/>
      <c r="AZ8" s="154"/>
      <c r="BA8" s="154"/>
      <c r="BB8" s="154"/>
      <c r="BC8" s="154"/>
      <c r="BD8" s="154"/>
      <c r="BE8" s="154"/>
      <c r="BF8" s="154"/>
      <c r="BG8" s="154"/>
      <c r="BS8" s="13"/>
      <c r="BT8" s="123"/>
      <c r="BU8" s="116"/>
      <c r="BV8" s="115"/>
      <c r="BW8" s="116"/>
      <c r="BX8" s="115"/>
      <c r="BY8" s="115"/>
      <c r="BZ8" s="115"/>
      <c r="CA8" s="119"/>
      <c r="CB8" s="115"/>
      <c r="CC8" s="115"/>
      <c r="CD8" s="115"/>
      <c r="CE8" s="119"/>
    </row>
    <row r="9" spans="1:83" hidden="1">
      <c r="A9" s="13">
        <f>A8+1</f>
        <v>2</v>
      </c>
      <c r="B9" s="123">
        <v>44593</v>
      </c>
      <c r="C9" s="116" t="s">
        <v>6</v>
      </c>
      <c r="D9" s="116">
        <v>1</v>
      </c>
      <c r="E9" s="115" t="s">
        <v>632</v>
      </c>
      <c r="F9" s="116" t="s">
        <v>130</v>
      </c>
      <c r="G9" s="115"/>
      <c r="H9" s="117">
        <v>44616</v>
      </c>
      <c r="I9" s="115">
        <v>6750</v>
      </c>
      <c r="J9" s="115">
        <v>255.6</v>
      </c>
      <c r="K9" s="115">
        <f>J9-49275/6750</f>
        <v>248.29999999999998</v>
      </c>
      <c r="L9" s="119">
        <f t="shared" ref="L9:L72" ca="1" si="16">IF(AND(K9&lt;&gt;0,I9&lt;&gt;0),(IF(C9="B",1,-1))*(K9-J9)*I9-AK9*2,0)*$D9*IF(MONTH($B$2)=MONTH($H9),1,0)</f>
        <v>0</v>
      </c>
      <c r="M9" s="119">
        <f t="shared" ref="M9:M72" si="17">IF(AND(K9&lt;&gt;0,I9&lt;&gt;0),(IF(C9="B",1,-1))*(K9-J9)*I9-AK9*2,0)*$D9</f>
        <v>-49275.00000000008</v>
      </c>
      <c r="N9" s="115">
        <f t="shared" ref="N9" si="18">K9/$J9</f>
        <v>0.97143974960876367</v>
      </c>
      <c r="O9" s="156">
        <f t="shared" ref="O9" si="19">J9*(1+$O$6*IF(C9="B",-1,1))</f>
        <v>191.7</v>
      </c>
      <c r="P9" s="160">
        <f t="shared" ref="P9:P86" si="20">$J9*$I9*$D9</f>
        <v>1725300</v>
      </c>
      <c r="Q9" s="160" t="e">
        <f t="shared" ref="Q9" si="21">(W9-J9)*I9*IF(C9="B",1,-1)*IF(K9=0,1,0)</f>
        <v>#N/A</v>
      </c>
      <c r="R9" s="153" t="e">
        <f t="shared" ref="R9:R72" ca="1" si="22">Z9*T9</f>
        <v>#VALUE!</v>
      </c>
      <c r="S9" s="119">
        <f t="shared" ref="S9" si="23">(1-$S$6)*J9</f>
        <v>25.559999999999995</v>
      </c>
      <c r="T9" s="115" t="e">
        <f>VLOOKUP(TRIM($F9),Reference!B:C,2,0)</f>
        <v>#VALUE!</v>
      </c>
      <c r="U9" s="170">
        <f t="shared" ref="U9:U25" ca="1" si="24">AC9</f>
        <v>0</v>
      </c>
      <c r="V9" s="120" t="str">
        <f t="shared" si="6"/>
        <v>TATAPOWER22FEBFUT</v>
      </c>
      <c r="W9" s="158" t="e">
        <f>VLOOKUP($V9,Reference!BA:BD,4,0)</f>
        <v>#N/A</v>
      </c>
      <c r="X9" s="160">
        <f t="shared" ca="1" si="7"/>
        <v>0</v>
      </c>
      <c r="Y9" s="160">
        <f t="shared" ca="1" si="8"/>
        <v>0</v>
      </c>
      <c r="Z9" s="160">
        <f t="shared" ref="Z9:Z72" ca="1" si="25">Y9*IF(C9="B",1,-1)*IF(I9=0,0,1)*IF(K9=0,1,0)*I9</f>
        <v>0</v>
      </c>
      <c r="AA9" s="160">
        <f t="shared" ca="1" si="9"/>
        <v>0</v>
      </c>
      <c r="AB9" s="160">
        <f t="shared" ca="1" si="10"/>
        <v>0</v>
      </c>
      <c r="AC9" s="119">
        <f t="shared" ca="1" si="11"/>
        <v>0</v>
      </c>
      <c r="AD9" s="115">
        <f t="shared" ref="AD9" ca="1" si="26">(H9-TODAY())/365</f>
        <v>-1.5561643835616439</v>
      </c>
      <c r="AE9" s="115">
        <f t="shared" ref="AE9" si="27">IF(I9&lt;&gt;0,20,0)</f>
        <v>20</v>
      </c>
      <c r="AF9" s="115"/>
      <c r="AG9" s="115"/>
      <c r="AH9" s="115">
        <f t="shared" si="14"/>
        <v>0</v>
      </c>
      <c r="AI9" s="115"/>
      <c r="AJ9" s="115">
        <f t="shared" si="15"/>
        <v>51.759</v>
      </c>
      <c r="AK9" s="115"/>
      <c r="AL9" s="142"/>
      <c r="AM9" s="153"/>
      <c r="AN9" s="153"/>
      <c r="AO9" s="153"/>
      <c r="AP9" s="153"/>
      <c r="AQ9" s="153"/>
      <c r="AR9" s="153"/>
      <c r="AS9" s="153"/>
      <c r="AT9" s="153"/>
      <c r="AU9" s="153"/>
      <c r="AV9" s="153"/>
      <c r="AW9" s="153"/>
      <c r="AX9" s="153"/>
      <c r="AY9" s="153"/>
      <c r="AZ9" s="153"/>
      <c r="BA9" s="153"/>
      <c r="BB9" s="153"/>
      <c r="BC9" s="153"/>
      <c r="BD9" s="153"/>
      <c r="BE9" s="153"/>
      <c r="BF9" s="153"/>
      <c r="BG9" s="153"/>
      <c r="BS9" s="13">
        <v>2</v>
      </c>
      <c r="BT9" s="123">
        <v>44491</v>
      </c>
      <c r="BU9" s="116" t="s">
        <v>8</v>
      </c>
      <c r="BV9" s="115" t="s">
        <v>482</v>
      </c>
      <c r="BW9" s="116" t="s">
        <v>502</v>
      </c>
      <c r="BX9" s="115">
        <v>18400</v>
      </c>
      <c r="BY9" s="115">
        <v>41.7</v>
      </c>
      <c r="BZ9" s="115">
        <v>47.945</v>
      </c>
      <c r="CA9" s="119">
        <v>-3216.6708800000001</v>
      </c>
      <c r="CB9" s="115">
        <v>1.1497601918465228</v>
      </c>
      <c r="CC9" s="115">
        <v>500</v>
      </c>
      <c r="CD9" s="115">
        <v>50</v>
      </c>
      <c r="CE9" s="119">
        <v>20850</v>
      </c>
    </row>
    <row r="10" spans="1:83" hidden="1">
      <c r="A10" s="13">
        <f t="shared" ref="A10:A86" si="28">A9+1</f>
        <v>3</v>
      </c>
      <c r="B10" s="123">
        <v>44593</v>
      </c>
      <c r="C10" s="116" t="s">
        <v>8</v>
      </c>
      <c r="D10" s="116">
        <v>1</v>
      </c>
      <c r="E10" s="115" t="s">
        <v>632</v>
      </c>
      <c r="F10" s="116" t="s">
        <v>130</v>
      </c>
      <c r="G10" s="115"/>
      <c r="H10" s="117">
        <v>44651</v>
      </c>
      <c r="I10" s="115">
        <v>6750</v>
      </c>
      <c r="J10" s="115">
        <v>248.9</v>
      </c>
      <c r="K10" s="115">
        <v>251.35</v>
      </c>
      <c r="L10" s="119">
        <f t="shared" ca="1" si="16"/>
        <v>0</v>
      </c>
      <c r="M10" s="119">
        <f t="shared" si="17"/>
        <v>-16537.499999999924</v>
      </c>
      <c r="N10" s="115">
        <f t="shared" ref="N10:N11" si="29">K10/$J10</f>
        <v>1.0098433105664926</v>
      </c>
      <c r="O10" s="156">
        <f t="shared" ref="O10:O11" si="30">J10*(1+$O$6*IF(C10="B",-1,1))</f>
        <v>311.125</v>
      </c>
      <c r="P10" s="160">
        <f t="shared" si="20"/>
        <v>1680075</v>
      </c>
      <c r="Q10" s="160" t="e">
        <f t="shared" ref="Q10:Q11" si="31">(W10-J10)*I10*IF(C10="B",1,-1)*IF(K10=0,1,0)</f>
        <v>#N/A</v>
      </c>
      <c r="R10" s="153" t="e">
        <f t="shared" ca="1" si="22"/>
        <v>#VALUE!</v>
      </c>
      <c r="S10" s="119">
        <f t="shared" ref="S10:S11" si="32">(1-$S$6)*J10</f>
        <v>24.889999999999993</v>
      </c>
      <c r="T10" s="115" t="e">
        <f>VLOOKUP(TRIM($F10),Reference!B:C,2,0)</f>
        <v>#VALUE!</v>
      </c>
      <c r="U10" s="170">
        <f t="shared" ca="1" si="24"/>
        <v>0</v>
      </c>
      <c r="V10" s="120" t="str">
        <f t="shared" si="6"/>
        <v>TATAPOWER22MARFUT</v>
      </c>
      <c r="W10" s="158" t="e">
        <f>VLOOKUP($V10,Reference!BA:BD,4,0)</f>
        <v>#N/A</v>
      </c>
      <c r="X10" s="160">
        <f t="shared" ca="1" si="7"/>
        <v>0</v>
      </c>
      <c r="Y10" s="160">
        <f t="shared" ca="1" si="8"/>
        <v>0</v>
      </c>
      <c r="Z10" s="160">
        <f t="shared" ca="1" si="25"/>
        <v>0</v>
      </c>
      <c r="AA10" s="160">
        <f t="shared" ca="1" si="9"/>
        <v>0</v>
      </c>
      <c r="AB10" s="160">
        <f t="shared" ca="1" si="10"/>
        <v>0</v>
      </c>
      <c r="AC10" s="119">
        <f t="shared" ca="1" si="11"/>
        <v>0</v>
      </c>
      <c r="AD10" s="115">
        <f t="shared" ref="AD10:AD11" ca="1" si="33">(H10-TODAY())/365</f>
        <v>-1.4602739726027398</v>
      </c>
      <c r="AE10" s="115">
        <f t="shared" ref="AE10:AE11" si="34">IF(I10&lt;&gt;0,20,0)</f>
        <v>20</v>
      </c>
      <c r="AF10" s="115"/>
      <c r="AG10" s="115"/>
      <c r="AH10" s="115">
        <f t="shared" si="14"/>
        <v>840.03750000000002</v>
      </c>
      <c r="AI10" s="115"/>
      <c r="AJ10" s="115">
        <f t="shared" si="15"/>
        <v>0</v>
      </c>
      <c r="AK10" s="115"/>
      <c r="AL10" s="142"/>
      <c r="AM10" s="153"/>
      <c r="AN10" s="153"/>
      <c r="AO10" s="153"/>
      <c r="AP10" s="153"/>
      <c r="AQ10" s="153"/>
      <c r="AR10" s="153"/>
      <c r="AS10" s="153"/>
      <c r="AT10" s="153"/>
      <c r="AU10" s="153"/>
      <c r="AV10" s="153"/>
      <c r="AW10" s="153"/>
      <c r="AX10" s="153"/>
      <c r="AY10" s="153"/>
      <c r="AZ10" s="153"/>
      <c r="BA10" s="153"/>
      <c r="BB10" s="153"/>
      <c r="BC10" s="153"/>
      <c r="BD10" s="153"/>
      <c r="BE10" s="153"/>
      <c r="BF10" s="153"/>
      <c r="BG10" s="153"/>
      <c r="BS10" s="13">
        <v>2</v>
      </c>
      <c r="BT10" s="123">
        <v>44491</v>
      </c>
      <c r="BU10" s="116" t="s">
        <v>8</v>
      </c>
      <c r="BV10" s="115" t="s">
        <v>482</v>
      </c>
      <c r="BW10" s="116" t="s">
        <v>502</v>
      </c>
      <c r="BX10" s="115">
        <v>18400</v>
      </c>
      <c r="BY10" s="115">
        <v>41.7</v>
      </c>
      <c r="BZ10" s="115">
        <v>47.945</v>
      </c>
      <c r="CA10" s="119">
        <v>-3216.6708800000001</v>
      </c>
      <c r="CB10" s="115">
        <v>1.1497601918465228</v>
      </c>
      <c r="CC10" s="115">
        <v>500</v>
      </c>
      <c r="CD10" s="115">
        <v>50</v>
      </c>
      <c r="CE10" s="119">
        <v>20850</v>
      </c>
    </row>
    <row r="11" spans="1:83" hidden="1">
      <c r="A11" s="13">
        <f t="shared" si="28"/>
        <v>4</v>
      </c>
      <c r="B11" s="123">
        <v>44593</v>
      </c>
      <c r="C11" s="116" t="s">
        <v>8</v>
      </c>
      <c r="D11" s="116">
        <v>1</v>
      </c>
      <c r="E11" s="115" t="s">
        <v>481</v>
      </c>
      <c r="F11" s="116" t="s">
        <v>130</v>
      </c>
      <c r="G11" s="115">
        <v>300</v>
      </c>
      <c r="H11" s="117">
        <v>44616</v>
      </c>
      <c r="I11" s="115">
        <v>13500</v>
      </c>
      <c r="J11" s="115">
        <v>3.02</v>
      </c>
      <c r="K11" s="115">
        <v>0.8</v>
      </c>
      <c r="L11" s="119">
        <f t="shared" ca="1" si="16"/>
        <v>0</v>
      </c>
      <c r="M11" s="119">
        <f t="shared" si="17"/>
        <v>29969.999999999996</v>
      </c>
      <c r="N11" s="115">
        <f t="shared" si="29"/>
        <v>0.26490066225165565</v>
      </c>
      <c r="O11" s="156">
        <f t="shared" si="30"/>
        <v>3.7749999999999999</v>
      </c>
      <c r="P11" s="160">
        <f t="shared" si="20"/>
        <v>40770</v>
      </c>
      <c r="Q11" s="160" t="e">
        <f t="shared" si="31"/>
        <v>#N/A</v>
      </c>
      <c r="R11" s="153" t="e">
        <f t="shared" ca="1" si="22"/>
        <v>#VALUE!</v>
      </c>
      <c r="S11" s="119">
        <f t="shared" si="32"/>
        <v>0.30199999999999994</v>
      </c>
      <c r="T11" s="115" t="e">
        <f>VLOOKUP(TRIM($F11),Reference!B:C,2,0)</f>
        <v>#VALUE!</v>
      </c>
      <c r="U11" s="170">
        <f t="shared" ca="1" si="24"/>
        <v>0</v>
      </c>
      <c r="V11" s="120" t="str">
        <f t="shared" si="6"/>
        <v>TATAPOWER22FEB300CE</v>
      </c>
      <c r="W11" s="158" t="e">
        <f>VLOOKUP($V11,Reference!BA:BD,4,0)</f>
        <v>#N/A</v>
      </c>
      <c r="X11" s="160">
        <f t="shared" ca="1" si="7"/>
        <v>0</v>
      </c>
      <c r="Y11" s="160">
        <f t="shared" ca="1" si="8"/>
        <v>0</v>
      </c>
      <c r="Z11" s="160">
        <f t="shared" ca="1" si="25"/>
        <v>0</v>
      </c>
      <c r="AA11" s="160">
        <f t="shared" ca="1" si="9"/>
        <v>0</v>
      </c>
      <c r="AB11" s="160">
        <f t="shared" ca="1" si="10"/>
        <v>0</v>
      </c>
      <c r="AC11" s="119">
        <f t="shared" ca="1" si="11"/>
        <v>0</v>
      </c>
      <c r="AD11" s="115">
        <f t="shared" ca="1" si="33"/>
        <v>-1.5561643835616439</v>
      </c>
      <c r="AE11" s="115">
        <f t="shared" si="34"/>
        <v>20</v>
      </c>
      <c r="AF11" s="115"/>
      <c r="AG11" s="115"/>
      <c r="AH11" s="115">
        <f t="shared" si="14"/>
        <v>20.385000000000002</v>
      </c>
      <c r="AI11" s="115"/>
      <c r="AJ11" s="115">
        <f t="shared" si="15"/>
        <v>0</v>
      </c>
      <c r="AK11" s="115"/>
      <c r="AL11" s="142"/>
      <c r="AM11" s="153"/>
      <c r="AN11" s="153"/>
      <c r="AO11" s="153"/>
      <c r="AP11" s="153"/>
      <c r="AQ11" s="153"/>
      <c r="AR11" s="153"/>
      <c r="AS11" s="153"/>
      <c r="AT11" s="153"/>
      <c r="AU11" s="153"/>
      <c r="AV11" s="153"/>
      <c r="AW11" s="153"/>
      <c r="AX11" s="153"/>
      <c r="AY11" s="153"/>
      <c r="AZ11" s="153"/>
      <c r="BA11" s="153"/>
      <c r="BB11" s="153"/>
      <c r="BC11" s="153"/>
      <c r="BD11" s="153"/>
      <c r="BE11" s="153"/>
      <c r="BF11" s="153"/>
      <c r="BG11" s="153"/>
      <c r="BS11" s="13">
        <v>2</v>
      </c>
      <c r="BT11" s="123">
        <v>44491</v>
      </c>
      <c r="BU11" s="116" t="s">
        <v>8</v>
      </c>
      <c r="BV11" s="115" t="s">
        <v>482</v>
      </c>
      <c r="BW11" s="116" t="s">
        <v>502</v>
      </c>
      <c r="BX11" s="115">
        <v>18400</v>
      </c>
      <c r="BY11" s="115">
        <v>41.7</v>
      </c>
      <c r="BZ11" s="115">
        <v>47.945</v>
      </c>
      <c r="CA11" s="119">
        <v>-3216.6708800000001</v>
      </c>
      <c r="CB11" s="115">
        <v>1.1497601918465228</v>
      </c>
      <c r="CC11" s="115">
        <v>500</v>
      </c>
      <c r="CD11" s="115">
        <v>50</v>
      </c>
      <c r="CE11" s="119">
        <v>20850</v>
      </c>
    </row>
    <row r="12" spans="1:83" hidden="1">
      <c r="A12" s="13">
        <f t="shared" si="28"/>
        <v>5</v>
      </c>
      <c r="B12" s="123">
        <v>44593</v>
      </c>
      <c r="C12" s="116" t="s">
        <v>8</v>
      </c>
      <c r="D12" s="116">
        <v>1</v>
      </c>
      <c r="E12" s="115" t="s">
        <v>482</v>
      </c>
      <c r="F12" s="116" t="s">
        <v>130</v>
      </c>
      <c r="G12" s="115">
        <v>215</v>
      </c>
      <c r="H12" s="117">
        <v>44616</v>
      </c>
      <c r="I12" s="115">
        <v>13500</v>
      </c>
      <c r="J12" s="115">
        <v>2.33</v>
      </c>
      <c r="K12" s="115">
        <v>2.8</v>
      </c>
      <c r="L12" s="119">
        <f t="shared" ca="1" si="16"/>
        <v>0</v>
      </c>
      <c r="M12" s="119">
        <f t="shared" si="17"/>
        <v>-6344.9999999999964</v>
      </c>
      <c r="N12" s="115">
        <f t="shared" ref="N12:N14" si="35">K12/$J12</f>
        <v>1.2017167381974247</v>
      </c>
      <c r="O12" s="156">
        <f t="shared" ref="O12:O14" si="36">J12*(1+$O$6*IF(C12="B",-1,1))</f>
        <v>2.9125000000000001</v>
      </c>
      <c r="P12" s="160">
        <f t="shared" si="20"/>
        <v>31455</v>
      </c>
      <c r="Q12" s="160" t="e">
        <f t="shared" ref="Q12:Q14" si="37">(W12-J12)*I12*IF(C12="B",1,-1)*IF(K12=0,1,0)</f>
        <v>#N/A</v>
      </c>
      <c r="R12" s="153" t="e">
        <f t="shared" ca="1" si="22"/>
        <v>#VALUE!</v>
      </c>
      <c r="S12" s="119">
        <f t="shared" ref="S12:S14" si="38">(1-$S$6)*J12</f>
        <v>0.23299999999999996</v>
      </c>
      <c r="T12" s="115" t="e">
        <f>VLOOKUP(TRIM($F12),Reference!B:C,2,0)</f>
        <v>#VALUE!</v>
      </c>
      <c r="U12" s="170">
        <f t="shared" ca="1" si="24"/>
        <v>0</v>
      </c>
      <c r="V12" s="120" t="str">
        <f t="shared" si="6"/>
        <v>TATAPOWER22FEB215PE</v>
      </c>
      <c r="W12" s="158" t="e">
        <f>VLOOKUP($V12,Reference!BA:BD,4,0)</f>
        <v>#N/A</v>
      </c>
      <c r="X12" s="160">
        <f t="shared" ca="1" si="7"/>
        <v>0</v>
      </c>
      <c r="Y12" s="160">
        <f t="shared" ca="1" si="8"/>
        <v>0</v>
      </c>
      <c r="Z12" s="160">
        <f t="shared" ca="1" si="25"/>
        <v>0</v>
      </c>
      <c r="AA12" s="160">
        <f t="shared" ca="1" si="9"/>
        <v>0</v>
      </c>
      <c r="AB12" s="160">
        <f t="shared" ca="1" si="10"/>
        <v>0</v>
      </c>
      <c r="AC12" s="119">
        <f t="shared" ca="1" si="11"/>
        <v>0</v>
      </c>
      <c r="AD12" s="115">
        <f t="shared" ref="AD12:AD14" ca="1" si="39">(H12-TODAY())/365</f>
        <v>-1.5561643835616439</v>
      </c>
      <c r="AE12" s="115">
        <f t="shared" ref="AE12:AE14" si="40">IF(I12&lt;&gt;0,20,0)</f>
        <v>20</v>
      </c>
      <c r="AF12" s="115"/>
      <c r="AG12" s="115"/>
      <c r="AH12" s="115">
        <f t="shared" si="14"/>
        <v>15.727500000000001</v>
      </c>
      <c r="AI12" s="115"/>
      <c r="AJ12" s="115">
        <f t="shared" si="15"/>
        <v>0</v>
      </c>
      <c r="AK12" s="115"/>
      <c r="AL12" s="142"/>
      <c r="AM12" s="153"/>
      <c r="AN12" s="153"/>
      <c r="AO12" s="153"/>
      <c r="AP12" s="153"/>
      <c r="AQ12" s="153"/>
      <c r="AR12" s="153"/>
      <c r="AS12" s="153"/>
      <c r="AT12" s="153"/>
      <c r="AU12" s="153"/>
      <c r="AV12" s="153"/>
      <c r="AW12" s="153"/>
      <c r="AX12" s="153"/>
      <c r="AY12" s="153"/>
      <c r="AZ12" s="153"/>
      <c r="BA12" s="153"/>
      <c r="BB12" s="153"/>
      <c r="BC12" s="153"/>
      <c r="BD12" s="153"/>
      <c r="BE12" s="153"/>
      <c r="BF12" s="153"/>
      <c r="BG12" s="153"/>
      <c r="BS12" s="13">
        <v>2</v>
      </c>
      <c r="BT12" s="123">
        <v>44491</v>
      </c>
      <c r="BU12" s="116" t="s">
        <v>8</v>
      </c>
      <c r="BV12" s="115" t="s">
        <v>482</v>
      </c>
      <c r="BW12" s="116" t="s">
        <v>502</v>
      </c>
      <c r="BX12" s="115">
        <v>18400</v>
      </c>
      <c r="BY12" s="115">
        <v>41.7</v>
      </c>
      <c r="BZ12" s="115">
        <v>47.945</v>
      </c>
      <c r="CA12" s="119">
        <v>-3216.6708800000001</v>
      </c>
      <c r="CB12" s="115">
        <v>1.1497601918465228</v>
      </c>
      <c r="CC12" s="115">
        <v>500</v>
      </c>
      <c r="CD12" s="115">
        <v>50</v>
      </c>
      <c r="CE12" s="119">
        <v>20850</v>
      </c>
    </row>
    <row r="13" spans="1:83" hidden="1">
      <c r="A13" s="13">
        <f t="shared" si="28"/>
        <v>6</v>
      </c>
      <c r="B13" s="123">
        <v>44593</v>
      </c>
      <c r="C13" s="116" t="s">
        <v>8</v>
      </c>
      <c r="D13" s="116">
        <v>1</v>
      </c>
      <c r="E13" s="115" t="s">
        <v>482</v>
      </c>
      <c r="F13" s="116" t="s">
        <v>130</v>
      </c>
      <c r="G13" s="115">
        <v>220</v>
      </c>
      <c r="H13" s="117">
        <v>44616</v>
      </c>
      <c r="I13" s="115">
        <v>6750</v>
      </c>
      <c r="J13" s="115">
        <v>2.25</v>
      </c>
      <c r="K13" s="115">
        <v>3.65</v>
      </c>
      <c r="L13" s="119">
        <f t="shared" ca="1" si="16"/>
        <v>0</v>
      </c>
      <c r="M13" s="119">
        <f t="shared" si="17"/>
        <v>-9450</v>
      </c>
      <c r="N13" s="115">
        <f t="shared" si="35"/>
        <v>1.6222222222222222</v>
      </c>
      <c r="O13" s="156">
        <f t="shared" si="36"/>
        <v>2.8125</v>
      </c>
      <c r="P13" s="160">
        <f t="shared" si="20"/>
        <v>15187.5</v>
      </c>
      <c r="Q13" s="160" t="e">
        <f t="shared" si="37"/>
        <v>#N/A</v>
      </c>
      <c r="R13" s="153" t="e">
        <f t="shared" ca="1" si="22"/>
        <v>#VALUE!</v>
      </c>
      <c r="S13" s="119">
        <f t="shared" si="38"/>
        <v>0.22499999999999995</v>
      </c>
      <c r="T13" s="115" t="e">
        <f>VLOOKUP(TRIM($F13),Reference!B:C,2,0)</f>
        <v>#VALUE!</v>
      </c>
      <c r="U13" s="170">
        <f t="shared" ca="1" si="24"/>
        <v>0</v>
      </c>
      <c r="V13" s="120" t="str">
        <f t="shared" si="6"/>
        <v>TATAPOWER22FEB220PE</v>
      </c>
      <c r="W13" s="158" t="e">
        <f>VLOOKUP($V13,Reference!BA:BD,4,0)</f>
        <v>#N/A</v>
      </c>
      <c r="X13" s="160">
        <f t="shared" ca="1" si="7"/>
        <v>0</v>
      </c>
      <c r="Y13" s="160">
        <f t="shared" ca="1" si="8"/>
        <v>0</v>
      </c>
      <c r="Z13" s="160">
        <f t="shared" ca="1" si="25"/>
        <v>0</v>
      </c>
      <c r="AA13" s="160">
        <f t="shared" ca="1" si="9"/>
        <v>0</v>
      </c>
      <c r="AB13" s="160">
        <f t="shared" ca="1" si="10"/>
        <v>0</v>
      </c>
      <c r="AC13" s="119">
        <f t="shared" ca="1" si="11"/>
        <v>0</v>
      </c>
      <c r="AD13" s="115">
        <f t="shared" ca="1" si="39"/>
        <v>-1.5561643835616439</v>
      </c>
      <c r="AE13" s="115">
        <f t="shared" si="40"/>
        <v>20</v>
      </c>
      <c r="AF13" s="115"/>
      <c r="AG13" s="115"/>
      <c r="AH13" s="115">
        <f t="shared" si="14"/>
        <v>7.59375</v>
      </c>
      <c r="AI13" s="115"/>
      <c r="AJ13" s="115">
        <f t="shared" si="15"/>
        <v>0</v>
      </c>
      <c r="AK13" s="115"/>
      <c r="AL13" s="142"/>
      <c r="AM13" s="153"/>
      <c r="AN13" s="153"/>
      <c r="AO13" s="153"/>
      <c r="AP13" s="153"/>
      <c r="AQ13" s="153"/>
      <c r="AR13" s="153"/>
      <c r="AS13" s="153"/>
      <c r="AT13" s="153"/>
      <c r="AU13" s="153"/>
      <c r="AV13" s="153"/>
      <c r="AW13" s="153"/>
      <c r="AX13" s="153"/>
      <c r="AY13" s="153"/>
      <c r="AZ13" s="153"/>
      <c r="BA13" s="153"/>
      <c r="BB13" s="153"/>
      <c r="BC13" s="153"/>
      <c r="BD13" s="153"/>
      <c r="BE13" s="153"/>
      <c r="BF13" s="153"/>
      <c r="BG13" s="153"/>
      <c r="BS13" s="13">
        <v>2</v>
      </c>
      <c r="BT13" s="123">
        <v>44491</v>
      </c>
      <c r="BU13" s="116" t="s">
        <v>8</v>
      </c>
      <c r="BV13" s="115" t="s">
        <v>482</v>
      </c>
      <c r="BW13" s="116" t="s">
        <v>502</v>
      </c>
      <c r="BX13" s="115">
        <v>18400</v>
      </c>
      <c r="BY13" s="115">
        <v>41.7</v>
      </c>
      <c r="BZ13" s="115">
        <v>47.945</v>
      </c>
      <c r="CA13" s="119">
        <v>-3216.6708800000001</v>
      </c>
      <c r="CB13" s="115">
        <v>1.1497601918465228</v>
      </c>
      <c r="CC13" s="115">
        <v>500</v>
      </c>
      <c r="CD13" s="115">
        <v>50</v>
      </c>
      <c r="CE13" s="119">
        <v>20850</v>
      </c>
    </row>
    <row r="14" spans="1:83" hidden="1">
      <c r="A14" s="13">
        <f t="shared" si="28"/>
        <v>7</v>
      </c>
      <c r="B14" s="123">
        <v>44594</v>
      </c>
      <c r="C14" s="116" t="s">
        <v>8</v>
      </c>
      <c r="D14" s="116">
        <v>1</v>
      </c>
      <c r="E14" s="115" t="s">
        <v>481</v>
      </c>
      <c r="F14" s="116" t="s">
        <v>390</v>
      </c>
      <c r="G14" s="115">
        <v>2800</v>
      </c>
      <c r="H14" s="117">
        <v>44616</v>
      </c>
      <c r="I14" s="115">
        <v>750</v>
      </c>
      <c r="J14" s="115">
        <v>13.75</v>
      </c>
      <c r="K14" s="115">
        <v>14.55</v>
      </c>
      <c r="L14" s="119">
        <f t="shared" ca="1" si="16"/>
        <v>0</v>
      </c>
      <c r="M14" s="119">
        <f t="shared" si="17"/>
        <v>-600.00000000000057</v>
      </c>
      <c r="N14" s="115">
        <f t="shared" si="35"/>
        <v>1.0581818181818183</v>
      </c>
      <c r="O14" s="156">
        <f t="shared" si="36"/>
        <v>17.1875</v>
      </c>
      <c r="P14" s="160">
        <f t="shared" si="20"/>
        <v>10312.5</v>
      </c>
      <c r="Q14" s="160" t="e">
        <f t="shared" si="37"/>
        <v>#N/A</v>
      </c>
      <c r="R14" s="153" t="e">
        <f t="shared" ca="1" si="22"/>
        <v>#VALUE!</v>
      </c>
      <c r="S14" s="119">
        <f t="shared" si="38"/>
        <v>1.3749999999999998</v>
      </c>
      <c r="T14" s="115" t="e">
        <f>VLOOKUP(TRIM($F14),Reference!B:C,2,0)</f>
        <v>#VALUE!</v>
      </c>
      <c r="U14" s="170">
        <f t="shared" ca="1" si="24"/>
        <v>0</v>
      </c>
      <c r="V14" s="120" t="str">
        <f t="shared" si="6"/>
        <v>SRF22FEB2800CE</v>
      </c>
      <c r="W14" s="158" t="e">
        <f>VLOOKUP($V14,Reference!BA:BD,4,0)</f>
        <v>#N/A</v>
      </c>
      <c r="X14" s="160">
        <f t="shared" ca="1" si="7"/>
        <v>0</v>
      </c>
      <c r="Y14" s="160">
        <f t="shared" ca="1" si="8"/>
        <v>0</v>
      </c>
      <c r="Z14" s="160">
        <f t="shared" ca="1" si="25"/>
        <v>0</v>
      </c>
      <c r="AA14" s="160">
        <f t="shared" ca="1" si="9"/>
        <v>0</v>
      </c>
      <c r="AB14" s="160">
        <f t="shared" ca="1" si="10"/>
        <v>0</v>
      </c>
      <c r="AC14" s="119">
        <f t="shared" ca="1" si="11"/>
        <v>0</v>
      </c>
      <c r="AD14" s="115">
        <f t="shared" ca="1" si="39"/>
        <v>-1.5561643835616439</v>
      </c>
      <c r="AE14" s="115">
        <f t="shared" si="40"/>
        <v>20</v>
      </c>
      <c r="AF14" s="115"/>
      <c r="AG14" s="115"/>
      <c r="AH14" s="115">
        <f t="shared" si="14"/>
        <v>5.15625</v>
      </c>
      <c r="AI14" s="115"/>
      <c r="AJ14" s="115">
        <f t="shared" si="15"/>
        <v>0</v>
      </c>
      <c r="AK14" s="115"/>
      <c r="AM14" s="154"/>
      <c r="AN14" s="154"/>
      <c r="AO14" s="154"/>
      <c r="AP14" s="154"/>
      <c r="AQ14" s="154"/>
      <c r="AR14" s="154"/>
      <c r="AS14" s="154"/>
      <c r="AT14" s="154"/>
      <c r="AU14" s="154"/>
      <c r="AV14" s="154"/>
      <c r="AW14" s="154"/>
      <c r="AX14" s="154"/>
      <c r="AY14" s="154"/>
      <c r="AZ14" s="154"/>
      <c r="BA14" s="154"/>
      <c r="BB14" s="154"/>
      <c r="BC14" s="154"/>
      <c r="BD14" s="154"/>
      <c r="BE14" s="154"/>
      <c r="BF14" s="154"/>
      <c r="BG14" s="154"/>
      <c r="BS14" s="13">
        <v>2</v>
      </c>
      <c r="BT14" s="123">
        <v>44491</v>
      </c>
      <c r="BU14" s="116" t="s">
        <v>8</v>
      </c>
      <c r="BV14" s="115" t="s">
        <v>482</v>
      </c>
      <c r="BW14" s="116" t="s">
        <v>502</v>
      </c>
      <c r="BX14" s="115">
        <v>18400</v>
      </c>
      <c r="BY14" s="115">
        <v>41.7</v>
      </c>
      <c r="BZ14" s="115">
        <v>47.945</v>
      </c>
      <c r="CA14" s="119">
        <v>-3216.6708800000001</v>
      </c>
      <c r="CB14" s="115">
        <v>1.1497601918465228</v>
      </c>
      <c r="CC14" s="115">
        <v>500</v>
      </c>
      <c r="CD14" s="115">
        <v>50</v>
      </c>
      <c r="CE14" s="119">
        <v>20850</v>
      </c>
    </row>
    <row r="15" spans="1:83" hidden="1">
      <c r="A15" s="13">
        <f t="shared" si="28"/>
        <v>8</v>
      </c>
      <c r="B15" s="123">
        <v>44594</v>
      </c>
      <c r="C15" s="116" t="s">
        <v>8</v>
      </c>
      <c r="D15" s="116">
        <v>1</v>
      </c>
      <c r="E15" s="115" t="s">
        <v>482</v>
      </c>
      <c r="F15" s="116" t="s">
        <v>390</v>
      </c>
      <c r="G15" s="115">
        <v>2200</v>
      </c>
      <c r="H15" s="117">
        <v>44616</v>
      </c>
      <c r="I15" s="115">
        <v>750</v>
      </c>
      <c r="J15" s="115">
        <v>12.55</v>
      </c>
      <c r="K15" s="115">
        <v>12.7</v>
      </c>
      <c r="L15" s="119">
        <f t="shared" ca="1" si="16"/>
        <v>0</v>
      </c>
      <c r="M15" s="119">
        <f t="shared" si="17"/>
        <v>-112.49999999999893</v>
      </c>
      <c r="N15" s="115">
        <f t="shared" ref="N15:N17" si="41">K15/$J15</f>
        <v>1.0119521912350598</v>
      </c>
      <c r="O15" s="156">
        <f t="shared" ref="O15:O17" si="42">J15*(1+$O$6*IF(C15="B",-1,1))</f>
        <v>15.6875</v>
      </c>
      <c r="P15" s="160">
        <f t="shared" si="20"/>
        <v>9412.5</v>
      </c>
      <c r="Q15" s="160" t="e">
        <f t="shared" ref="Q15:Q17" si="43">(W15-J15)*I15*IF(C15="B",1,-1)*IF(K15=0,1,0)</f>
        <v>#N/A</v>
      </c>
      <c r="R15" s="153" t="e">
        <f t="shared" ca="1" si="22"/>
        <v>#VALUE!</v>
      </c>
      <c r="S15" s="119">
        <f t="shared" ref="S15:S17" si="44">(1-$S$6)*J15</f>
        <v>1.2549999999999999</v>
      </c>
      <c r="T15" s="115" t="e">
        <f>VLOOKUP(TRIM($F15),Reference!B:C,2,0)</f>
        <v>#VALUE!</v>
      </c>
      <c r="U15" s="170">
        <f t="shared" ca="1" si="24"/>
        <v>0</v>
      </c>
      <c r="V15" s="120" t="str">
        <f t="shared" si="6"/>
        <v>SRF22FEB2200PE</v>
      </c>
      <c r="W15" s="158" t="e">
        <f>VLOOKUP($V15,Reference!BA:BD,4,0)</f>
        <v>#N/A</v>
      </c>
      <c r="X15" s="160">
        <f t="shared" ca="1" si="7"/>
        <v>0</v>
      </c>
      <c r="Y15" s="160">
        <f t="shared" ca="1" si="8"/>
        <v>0</v>
      </c>
      <c r="Z15" s="160">
        <f t="shared" ca="1" si="25"/>
        <v>0</v>
      </c>
      <c r="AA15" s="160">
        <f t="shared" ca="1" si="9"/>
        <v>0</v>
      </c>
      <c r="AB15" s="160">
        <f t="shared" ca="1" si="10"/>
        <v>0</v>
      </c>
      <c r="AC15" s="119">
        <f t="shared" ca="1" si="11"/>
        <v>0</v>
      </c>
      <c r="AD15" s="115">
        <f t="shared" ref="AD15:AD17" ca="1" si="45">(H15-TODAY())/365</f>
        <v>-1.5561643835616439</v>
      </c>
      <c r="AE15" s="115">
        <f t="shared" ref="AE15:AE17" si="46">IF(I15&lt;&gt;0,20,0)</f>
        <v>20</v>
      </c>
      <c r="AF15" s="115"/>
      <c r="AG15" s="115"/>
      <c r="AH15" s="115">
        <f t="shared" si="14"/>
        <v>4.7062499999999998</v>
      </c>
      <c r="AI15" s="115"/>
      <c r="AJ15" s="115">
        <f t="shared" si="15"/>
        <v>0</v>
      </c>
      <c r="AK15" s="115"/>
      <c r="AM15" s="154"/>
      <c r="AN15" s="154"/>
      <c r="AO15" s="154"/>
      <c r="AP15" s="154"/>
      <c r="AQ15" s="154"/>
      <c r="AR15" s="154"/>
      <c r="AS15" s="154"/>
      <c r="AT15" s="154"/>
      <c r="AU15" s="154"/>
      <c r="AV15" s="154"/>
      <c r="AW15" s="154"/>
      <c r="AX15" s="154"/>
      <c r="AY15" s="154"/>
      <c r="AZ15" s="154"/>
      <c r="BA15" s="154"/>
      <c r="BB15" s="154"/>
      <c r="BC15" s="154"/>
      <c r="BD15" s="154"/>
      <c r="BE15" s="154"/>
      <c r="BF15" s="154"/>
      <c r="BG15" s="154"/>
      <c r="BS15" s="13">
        <v>2</v>
      </c>
      <c r="BT15" s="123">
        <v>44491</v>
      </c>
      <c r="BU15" s="116" t="s">
        <v>8</v>
      </c>
      <c r="BV15" s="115" t="s">
        <v>482</v>
      </c>
      <c r="BW15" s="116" t="s">
        <v>502</v>
      </c>
      <c r="BX15" s="115">
        <v>18400</v>
      </c>
      <c r="BY15" s="115">
        <v>41.7</v>
      </c>
      <c r="BZ15" s="115">
        <v>47.945</v>
      </c>
      <c r="CA15" s="119">
        <v>-3216.6708800000001</v>
      </c>
      <c r="CB15" s="115">
        <v>1.1497601918465228</v>
      </c>
      <c r="CC15" s="115">
        <v>500</v>
      </c>
      <c r="CD15" s="115">
        <v>50</v>
      </c>
      <c r="CE15" s="119">
        <v>20850</v>
      </c>
    </row>
    <row r="16" spans="1:83" hidden="1">
      <c r="A16" s="13">
        <f t="shared" si="28"/>
        <v>9</v>
      </c>
      <c r="B16" s="123">
        <v>44595</v>
      </c>
      <c r="C16" s="116" t="s">
        <v>8</v>
      </c>
      <c r="D16" s="116">
        <v>1</v>
      </c>
      <c r="E16" s="115" t="s">
        <v>481</v>
      </c>
      <c r="F16" s="116" t="s">
        <v>284</v>
      </c>
      <c r="G16" s="115">
        <v>570</v>
      </c>
      <c r="H16" s="117">
        <v>44616</v>
      </c>
      <c r="I16" s="115">
        <v>2850</v>
      </c>
      <c r="J16" s="115">
        <v>3.7</v>
      </c>
      <c r="K16" s="115">
        <v>1.8</v>
      </c>
      <c r="L16" s="119">
        <f t="shared" ca="1" si="16"/>
        <v>0</v>
      </c>
      <c r="M16" s="119">
        <f t="shared" si="17"/>
        <v>5415</v>
      </c>
      <c r="N16" s="115">
        <f t="shared" si="41"/>
        <v>0.48648648648648646</v>
      </c>
      <c r="O16" s="156">
        <f t="shared" si="42"/>
        <v>4.625</v>
      </c>
      <c r="P16" s="160">
        <f t="shared" si="20"/>
        <v>10545</v>
      </c>
      <c r="Q16" s="160" t="e">
        <f t="shared" si="43"/>
        <v>#N/A</v>
      </c>
      <c r="R16" s="153" t="e">
        <f t="shared" ca="1" si="22"/>
        <v>#VALUE!</v>
      </c>
      <c r="S16" s="119">
        <f t="shared" si="44"/>
        <v>0.36999999999999994</v>
      </c>
      <c r="T16" s="115" t="e">
        <f>VLOOKUP(TRIM($F16),Reference!B:C,2,0)</f>
        <v>#VALUE!</v>
      </c>
      <c r="U16" s="170">
        <f t="shared" ca="1" si="24"/>
        <v>0</v>
      </c>
      <c r="V16" s="120" t="str">
        <f t="shared" si="6"/>
        <v>TATAMOTORS22FEB570CE</v>
      </c>
      <c r="W16" s="158" t="e">
        <f>VLOOKUP($V16,Reference!BA:BD,4,0)</f>
        <v>#N/A</v>
      </c>
      <c r="X16" s="160">
        <f t="shared" ca="1" si="7"/>
        <v>0</v>
      </c>
      <c r="Y16" s="160">
        <f t="shared" ca="1" si="8"/>
        <v>0</v>
      </c>
      <c r="Z16" s="160">
        <f t="shared" ca="1" si="25"/>
        <v>0</v>
      </c>
      <c r="AA16" s="160">
        <f t="shared" ca="1" si="9"/>
        <v>0</v>
      </c>
      <c r="AB16" s="160">
        <f t="shared" ca="1" si="10"/>
        <v>0</v>
      </c>
      <c r="AC16" s="119">
        <f t="shared" ca="1" si="11"/>
        <v>0</v>
      </c>
      <c r="AD16" s="115">
        <f t="shared" ca="1" si="45"/>
        <v>-1.5561643835616439</v>
      </c>
      <c r="AE16" s="115">
        <f t="shared" si="46"/>
        <v>20</v>
      </c>
      <c r="AF16" s="115"/>
      <c r="AG16" s="115"/>
      <c r="AH16" s="115">
        <f t="shared" si="14"/>
        <v>5.2725</v>
      </c>
      <c r="AI16" s="115"/>
      <c r="AJ16" s="115">
        <f t="shared" si="15"/>
        <v>0</v>
      </c>
      <c r="AK16" s="115"/>
      <c r="AL16" s="142"/>
      <c r="AM16" s="153"/>
      <c r="AN16" s="153"/>
      <c r="AO16" s="153"/>
      <c r="AP16" s="153"/>
      <c r="AQ16" s="153"/>
      <c r="AR16" s="153"/>
      <c r="AS16" s="153"/>
      <c r="AT16" s="153"/>
      <c r="AU16" s="153"/>
      <c r="AV16" s="153"/>
      <c r="AW16" s="153"/>
      <c r="AX16" s="153"/>
      <c r="AY16" s="153"/>
      <c r="AZ16" s="153"/>
      <c r="BA16" s="153"/>
      <c r="BB16" s="153"/>
      <c r="BC16" s="153"/>
      <c r="BD16" s="153"/>
      <c r="BE16" s="153"/>
      <c r="BF16" s="153"/>
      <c r="BG16" s="153"/>
      <c r="BS16" s="13">
        <v>2</v>
      </c>
      <c r="BT16" s="123">
        <v>44491</v>
      </c>
      <c r="BU16" s="116" t="s">
        <v>8</v>
      </c>
      <c r="BV16" s="115" t="s">
        <v>482</v>
      </c>
      <c r="BW16" s="116" t="s">
        <v>502</v>
      </c>
      <c r="BX16" s="115">
        <v>18400</v>
      </c>
      <c r="BY16" s="115">
        <v>41.7</v>
      </c>
      <c r="BZ16" s="115">
        <v>47.945</v>
      </c>
      <c r="CA16" s="119">
        <v>-3216.6708800000001</v>
      </c>
      <c r="CB16" s="115">
        <v>1.1497601918465228</v>
      </c>
      <c r="CC16" s="115">
        <v>500</v>
      </c>
      <c r="CD16" s="115">
        <v>50</v>
      </c>
      <c r="CE16" s="119">
        <v>20850</v>
      </c>
    </row>
    <row r="17" spans="1:83" hidden="1">
      <c r="A17" s="13">
        <f t="shared" si="28"/>
        <v>10</v>
      </c>
      <c r="B17" s="123">
        <v>44595</v>
      </c>
      <c r="C17" s="116" t="s">
        <v>8</v>
      </c>
      <c r="D17" s="116">
        <v>1</v>
      </c>
      <c r="E17" s="115" t="s">
        <v>482</v>
      </c>
      <c r="F17" s="116" t="s">
        <v>284</v>
      </c>
      <c r="G17" s="115">
        <v>450</v>
      </c>
      <c r="H17" s="117">
        <v>44616</v>
      </c>
      <c r="I17" s="115">
        <v>2850</v>
      </c>
      <c r="J17" s="115">
        <v>2.65</v>
      </c>
      <c r="K17" s="115">
        <v>2.5</v>
      </c>
      <c r="L17" s="119">
        <f t="shared" ca="1" si="16"/>
        <v>0</v>
      </c>
      <c r="M17" s="119">
        <f t="shared" si="17"/>
        <v>427.49999999999977</v>
      </c>
      <c r="N17" s="115">
        <f t="shared" si="41"/>
        <v>0.94339622641509435</v>
      </c>
      <c r="O17" s="156">
        <f t="shared" si="42"/>
        <v>3.3125</v>
      </c>
      <c r="P17" s="160">
        <f t="shared" si="20"/>
        <v>7552.5</v>
      </c>
      <c r="Q17" s="160" t="e">
        <f t="shared" si="43"/>
        <v>#N/A</v>
      </c>
      <c r="R17" s="153" t="e">
        <f t="shared" ca="1" si="22"/>
        <v>#VALUE!</v>
      </c>
      <c r="S17" s="119">
        <f t="shared" si="44"/>
        <v>0.26499999999999996</v>
      </c>
      <c r="T17" s="115" t="e">
        <f>VLOOKUP(TRIM($F17),Reference!B:C,2,0)</f>
        <v>#VALUE!</v>
      </c>
      <c r="U17" s="170">
        <f t="shared" ca="1" si="24"/>
        <v>0</v>
      </c>
      <c r="V17" s="120" t="str">
        <f t="shared" si="6"/>
        <v>TATAMOTORS22FEB450PE</v>
      </c>
      <c r="W17" s="158" t="e">
        <f>VLOOKUP($V17,Reference!BA:BD,4,0)</f>
        <v>#N/A</v>
      </c>
      <c r="X17" s="160">
        <f t="shared" ca="1" si="7"/>
        <v>0</v>
      </c>
      <c r="Y17" s="160">
        <f t="shared" ca="1" si="8"/>
        <v>0</v>
      </c>
      <c r="Z17" s="160">
        <f t="shared" ca="1" si="25"/>
        <v>0</v>
      </c>
      <c r="AA17" s="160">
        <f t="shared" ca="1" si="9"/>
        <v>0</v>
      </c>
      <c r="AB17" s="160">
        <f t="shared" ca="1" si="10"/>
        <v>0</v>
      </c>
      <c r="AC17" s="119">
        <f t="shared" ca="1" si="11"/>
        <v>0</v>
      </c>
      <c r="AD17" s="115">
        <f t="shared" ca="1" si="45"/>
        <v>-1.5561643835616439</v>
      </c>
      <c r="AE17" s="115">
        <f t="shared" si="46"/>
        <v>20</v>
      </c>
      <c r="AF17" s="115"/>
      <c r="AG17" s="115"/>
      <c r="AH17" s="115">
        <f t="shared" si="14"/>
        <v>3.7762500000000001</v>
      </c>
      <c r="AI17" s="115"/>
      <c r="AJ17" s="115">
        <f t="shared" si="15"/>
        <v>0</v>
      </c>
      <c r="AK17" s="115"/>
      <c r="AL17" s="142"/>
      <c r="AM17" s="153"/>
      <c r="AN17" s="153"/>
      <c r="AO17" s="153"/>
      <c r="AP17" s="153"/>
      <c r="AQ17" s="153"/>
      <c r="AR17" s="153"/>
      <c r="AS17" s="153"/>
      <c r="AT17" s="153"/>
      <c r="AU17" s="153"/>
      <c r="AV17" s="153"/>
      <c r="AW17" s="153"/>
      <c r="AX17" s="153"/>
      <c r="AY17" s="153"/>
      <c r="AZ17" s="153"/>
      <c r="BA17" s="153"/>
      <c r="BB17" s="153"/>
      <c r="BC17" s="153"/>
      <c r="BD17" s="153"/>
      <c r="BE17" s="153"/>
      <c r="BF17" s="153"/>
      <c r="BG17" s="153"/>
      <c r="BS17" s="13">
        <v>2</v>
      </c>
      <c r="BT17" s="123">
        <v>44491</v>
      </c>
      <c r="BU17" s="116" t="s">
        <v>8</v>
      </c>
      <c r="BV17" s="115" t="s">
        <v>482</v>
      </c>
      <c r="BW17" s="116" t="s">
        <v>502</v>
      </c>
      <c r="BX17" s="115">
        <v>18400</v>
      </c>
      <c r="BY17" s="115">
        <v>41.7</v>
      </c>
      <c r="BZ17" s="115">
        <v>47.945</v>
      </c>
      <c r="CA17" s="119">
        <v>-3216.6708800000001</v>
      </c>
      <c r="CB17" s="115">
        <v>1.1497601918465228</v>
      </c>
      <c r="CC17" s="115">
        <v>500</v>
      </c>
      <c r="CD17" s="115">
        <v>50</v>
      </c>
      <c r="CE17" s="119">
        <v>20850</v>
      </c>
    </row>
    <row r="18" spans="1:83" hidden="1">
      <c r="A18" s="13">
        <f t="shared" si="28"/>
        <v>11</v>
      </c>
      <c r="B18" s="123">
        <v>44600</v>
      </c>
      <c r="C18" s="116" t="s">
        <v>8</v>
      </c>
      <c r="D18" s="116">
        <v>1</v>
      </c>
      <c r="E18" s="115" t="s">
        <v>482</v>
      </c>
      <c r="F18" s="116" t="s">
        <v>130</v>
      </c>
      <c r="G18" s="115">
        <v>220</v>
      </c>
      <c r="H18" s="117">
        <v>44616</v>
      </c>
      <c r="I18" s="115">
        <v>6750</v>
      </c>
      <c r="J18" s="115">
        <v>4.0999999999999996</v>
      </c>
      <c r="K18" s="115">
        <v>3.9</v>
      </c>
      <c r="L18" s="119">
        <f t="shared" ca="1" si="16"/>
        <v>0</v>
      </c>
      <c r="M18" s="119">
        <f t="shared" si="17"/>
        <v>1349.9999999999982</v>
      </c>
      <c r="N18" s="115">
        <f t="shared" ref="N18:N21" si="47">K18/$J18</f>
        <v>0.95121951219512202</v>
      </c>
      <c r="O18" s="156">
        <f t="shared" ref="O18:O21" si="48">J18*(1+$O$6*IF(C18="B",-1,1))</f>
        <v>5.125</v>
      </c>
      <c r="P18" s="160">
        <f t="shared" si="20"/>
        <v>27674.999999999996</v>
      </c>
      <c r="Q18" s="160" t="e">
        <f t="shared" ref="Q18:Q21" si="49">(W18-J18)*I18*IF(C18="B",1,-1)*IF(K18=0,1,0)</f>
        <v>#N/A</v>
      </c>
      <c r="R18" s="153" t="e">
        <f t="shared" ca="1" si="22"/>
        <v>#VALUE!</v>
      </c>
      <c r="S18" s="119">
        <f t="shared" ref="S18:S21" si="50">(1-$S$6)*J18</f>
        <v>0.40999999999999986</v>
      </c>
      <c r="T18" s="115" t="e">
        <f>VLOOKUP(TRIM($F18),Reference!B:C,2,0)</f>
        <v>#VALUE!</v>
      </c>
      <c r="U18" s="170">
        <f t="shared" ca="1" si="24"/>
        <v>0</v>
      </c>
      <c r="V18" s="120" t="str">
        <f t="shared" si="6"/>
        <v>TATAPOWER22FEB220PE</v>
      </c>
      <c r="W18" s="158" t="e">
        <f>VLOOKUP($V18,Reference!BA:BD,4,0)</f>
        <v>#N/A</v>
      </c>
      <c r="X18" s="160">
        <f t="shared" ca="1" si="7"/>
        <v>0</v>
      </c>
      <c r="Y18" s="160">
        <f t="shared" ca="1" si="8"/>
        <v>0</v>
      </c>
      <c r="Z18" s="160">
        <f t="shared" ca="1" si="25"/>
        <v>0</v>
      </c>
      <c r="AA18" s="160">
        <f t="shared" ca="1" si="9"/>
        <v>0</v>
      </c>
      <c r="AB18" s="160">
        <f t="shared" ca="1" si="10"/>
        <v>0</v>
      </c>
      <c r="AC18" s="119">
        <f t="shared" ca="1" si="11"/>
        <v>0</v>
      </c>
      <c r="AD18" s="115">
        <f t="shared" ref="AD18:AD21" ca="1" si="51">(H18-TODAY())/365</f>
        <v>-1.5561643835616439</v>
      </c>
      <c r="AE18" s="115">
        <f t="shared" ref="AE18:AE21" si="52">IF(I18&lt;&gt;0,20,0)</f>
        <v>20</v>
      </c>
      <c r="AF18" s="115"/>
      <c r="AG18" s="115"/>
      <c r="AH18" s="115">
        <f t="shared" si="14"/>
        <v>13.837499999999999</v>
      </c>
      <c r="AI18" s="115"/>
      <c r="AJ18" s="115">
        <f t="shared" si="15"/>
        <v>0</v>
      </c>
      <c r="AK18" s="115"/>
      <c r="AL18" s="142"/>
      <c r="AM18" s="153"/>
      <c r="AN18" s="153"/>
      <c r="AO18" s="153"/>
      <c r="AP18" s="153"/>
      <c r="AQ18" s="153"/>
      <c r="AR18" s="153"/>
      <c r="AS18" s="153"/>
      <c r="AT18" s="153"/>
      <c r="AU18" s="153"/>
      <c r="AV18" s="153"/>
      <c r="AW18" s="153"/>
      <c r="AX18" s="153"/>
      <c r="AY18" s="153"/>
      <c r="AZ18" s="153"/>
      <c r="BA18" s="153"/>
      <c r="BB18" s="153"/>
      <c r="BC18" s="153"/>
      <c r="BD18" s="153"/>
      <c r="BE18" s="153"/>
      <c r="BF18" s="153"/>
      <c r="BG18" s="153"/>
      <c r="BS18" s="13">
        <v>2</v>
      </c>
      <c r="BT18" s="123">
        <v>44491</v>
      </c>
      <c r="BU18" s="116" t="s">
        <v>8</v>
      </c>
      <c r="BV18" s="115" t="s">
        <v>482</v>
      </c>
      <c r="BW18" s="116" t="s">
        <v>502</v>
      </c>
      <c r="BX18" s="115">
        <v>18400</v>
      </c>
      <c r="BY18" s="115">
        <v>41.7</v>
      </c>
      <c r="BZ18" s="115">
        <v>47.945</v>
      </c>
      <c r="CA18" s="119">
        <v>-3216.6708800000001</v>
      </c>
      <c r="CB18" s="115">
        <v>1.1497601918465228</v>
      </c>
      <c r="CC18" s="115">
        <v>500</v>
      </c>
      <c r="CD18" s="115">
        <v>50</v>
      </c>
      <c r="CE18" s="119">
        <v>20850</v>
      </c>
    </row>
    <row r="19" spans="1:83" hidden="1">
      <c r="A19" s="13">
        <f t="shared" si="28"/>
        <v>12</v>
      </c>
      <c r="B19" s="123">
        <v>44600</v>
      </c>
      <c r="C19" s="116" t="s">
        <v>8</v>
      </c>
      <c r="D19" s="116">
        <v>1</v>
      </c>
      <c r="E19" s="115" t="s">
        <v>481</v>
      </c>
      <c r="F19" s="116" t="s">
        <v>130</v>
      </c>
      <c r="G19" s="115">
        <v>270</v>
      </c>
      <c r="H19" s="117">
        <v>44616</v>
      </c>
      <c r="I19" s="115">
        <v>6750</v>
      </c>
      <c r="J19" s="115">
        <v>2.25</v>
      </c>
      <c r="K19" s="115">
        <v>2.25</v>
      </c>
      <c r="L19" s="119">
        <f t="shared" ca="1" si="16"/>
        <v>0</v>
      </c>
      <c r="M19" s="119">
        <f t="shared" si="17"/>
        <v>0</v>
      </c>
      <c r="N19" s="115">
        <f t="shared" si="47"/>
        <v>1</v>
      </c>
      <c r="O19" s="156">
        <f t="shared" si="48"/>
        <v>2.8125</v>
      </c>
      <c r="P19" s="160">
        <f t="shared" si="20"/>
        <v>15187.5</v>
      </c>
      <c r="Q19" s="160" t="e">
        <f t="shared" si="49"/>
        <v>#N/A</v>
      </c>
      <c r="R19" s="153" t="e">
        <f t="shared" ca="1" si="22"/>
        <v>#VALUE!</v>
      </c>
      <c r="S19" s="119">
        <f t="shared" si="50"/>
        <v>0.22499999999999995</v>
      </c>
      <c r="T19" s="115" t="e">
        <f>VLOOKUP(TRIM($F19),Reference!B:C,2,0)</f>
        <v>#VALUE!</v>
      </c>
      <c r="U19" s="170">
        <f t="shared" ca="1" si="24"/>
        <v>0</v>
      </c>
      <c r="V19" s="120" t="str">
        <f t="shared" si="6"/>
        <v>TATAPOWER22FEB270CE</v>
      </c>
      <c r="W19" s="158" t="e">
        <f>VLOOKUP($V19,Reference!BA:BD,4,0)</f>
        <v>#N/A</v>
      </c>
      <c r="X19" s="160">
        <f t="shared" ca="1" si="7"/>
        <v>0</v>
      </c>
      <c r="Y19" s="160">
        <f t="shared" ca="1" si="8"/>
        <v>0</v>
      </c>
      <c r="Z19" s="160">
        <f t="shared" ca="1" si="25"/>
        <v>0</v>
      </c>
      <c r="AA19" s="160">
        <f t="shared" ca="1" si="9"/>
        <v>0</v>
      </c>
      <c r="AB19" s="160">
        <f t="shared" ca="1" si="10"/>
        <v>0</v>
      </c>
      <c r="AC19" s="119">
        <f t="shared" ca="1" si="11"/>
        <v>0</v>
      </c>
      <c r="AD19" s="115">
        <f t="shared" ca="1" si="51"/>
        <v>-1.5561643835616439</v>
      </c>
      <c r="AE19" s="115">
        <f t="shared" si="52"/>
        <v>20</v>
      </c>
      <c r="AF19" s="115"/>
      <c r="AG19" s="115"/>
      <c r="AH19" s="115">
        <f t="shared" si="14"/>
        <v>7.59375</v>
      </c>
      <c r="AI19" s="115"/>
      <c r="AJ19" s="115">
        <f t="shared" si="15"/>
        <v>0</v>
      </c>
      <c r="AK19" s="115"/>
      <c r="AL19" s="142"/>
      <c r="AM19" s="153"/>
      <c r="AN19" s="153"/>
      <c r="AO19" s="153"/>
      <c r="AP19" s="153"/>
      <c r="AQ19" s="153"/>
      <c r="AR19" s="153"/>
      <c r="AS19" s="153"/>
      <c r="AT19" s="153"/>
      <c r="AU19" s="153"/>
      <c r="AV19" s="153"/>
      <c r="AW19" s="153"/>
      <c r="AX19" s="153"/>
      <c r="AY19" s="153"/>
      <c r="AZ19" s="153"/>
      <c r="BA19" s="153"/>
      <c r="BB19" s="153"/>
      <c r="BC19" s="153"/>
      <c r="BD19" s="153"/>
      <c r="BE19" s="153"/>
      <c r="BF19" s="153"/>
      <c r="BG19" s="153"/>
      <c r="BS19" s="13">
        <v>2</v>
      </c>
      <c r="BT19" s="123">
        <v>44491</v>
      </c>
      <c r="BU19" s="116" t="s">
        <v>8</v>
      </c>
      <c r="BV19" s="115" t="s">
        <v>482</v>
      </c>
      <c r="BW19" s="116" t="s">
        <v>502</v>
      </c>
      <c r="BX19" s="115">
        <v>18400</v>
      </c>
      <c r="BY19" s="115">
        <v>41.7</v>
      </c>
      <c r="BZ19" s="115">
        <v>47.945</v>
      </c>
      <c r="CA19" s="119">
        <v>-3216.6708800000001</v>
      </c>
      <c r="CB19" s="115">
        <v>1.1497601918465228</v>
      </c>
      <c r="CC19" s="115">
        <v>500</v>
      </c>
      <c r="CD19" s="115">
        <v>50</v>
      </c>
      <c r="CE19" s="119">
        <v>20850</v>
      </c>
    </row>
    <row r="20" spans="1:83" hidden="1">
      <c r="A20" s="13">
        <f t="shared" si="28"/>
        <v>13</v>
      </c>
      <c r="B20" s="123">
        <v>44600</v>
      </c>
      <c r="C20" s="116" t="s">
        <v>8</v>
      </c>
      <c r="D20" s="116">
        <v>1</v>
      </c>
      <c r="E20" s="115" t="s">
        <v>482</v>
      </c>
      <c r="F20" s="116" t="s">
        <v>390</v>
      </c>
      <c r="G20" s="115">
        <v>2200</v>
      </c>
      <c r="H20" s="117">
        <v>44616</v>
      </c>
      <c r="I20" s="115">
        <v>750</v>
      </c>
      <c r="J20" s="115">
        <v>15</v>
      </c>
      <c r="K20" s="115">
        <v>5</v>
      </c>
      <c r="L20" s="119">
        <f t="shared" ca="1" si="16"/>
        <v>0</v>
      </c>
      <c r="M20" s="119">
        <f t="shared" si="17"/>
        <v>7500</v>
      </c>
      <c r="N20" s="115">
        <f t="shared" si="47"/>
        <v>0.33333333333333331</v>
      </c>
      <c r="O20" s="156">
        <f t="shared" si="48"/>
        <v>18.75</v>
      </c>
      <c r="P20" s="160">
        <f t="shared" si="20"/>
        <v>11250</v>
      </c>
      <c r="Q20" s="160" t="e">
        <f t="shared" si="49"/>
        <v>#N/A</v>
      </c>
      <c r="R20" s="153" t="e">
        <f t="shared" ca="1" si="22"/>
        <v>#VALUE!</v>
      </c>
      <c r="S20" s="119">
        <f t="shared" si="50"/>
        <v>1.4999999999999996</v>
      </c>
      <c r="T20" s="115" t="e">
        <f>VLOOKUP(TRIM($F20),Reference!B:C,2,0)</f>
        <v>#VALUE!</v>
      </c>
      <c r="U20" s="170">
        <f t="shared" ca="1" si="24"/>
        <v>0</v>
      </c>
      <c r="V20" s="120" t="str">
        <f t="shared" si="6"/>
        <v>SRF22FEB2200PE</v>
      </c>
      <c r="W20" s="158" t="e">
        <f>VLOOKUP($V20,Reference!BA:BD,4,0)</f>
        <v>#N/A</v>
      </c>
      <c r="X20" s="160">
        <f t="shared" ca="1" si="7"/>
        <v>0</v>
      </c>
      <c r="Y20" s="160">
        <f t="shared" ca="1" si="8"/>
        <v>0</v>
      </c>
      <c r="Z20" s="160">
        <f t="shared" ca="1" si="25"/>
        <v>0</v>
      </c>
      <c r="AA20" s="160">
        <f t="shared" ca="1" si="9"/>
        <v>0</v>
      </c>
      <c r="AB20" s="160">
        <f t="shared" ca="1" si="10"/>
        <v>0</v>
      </c>
      <c r="AC20" s="119">
        <f t="shared" ca="1" si="11"/>
        <v>0</v>
      </c>
      <c r="AD20" s="115">
        <f t="shared" ca="1" si="51"/>
        <v>-1.5561643835616439</v>
      </c>
      <c r="AE20" s="115">
        <f t="shared" si="52"/>
        <v>20</v>
      </c>
      <c r="AF20" s="115"/>
      <c r="AG20" s="115"/>
      <c r="AH20" s="115">
        <f t="shared" si="14"/>
        <v>5.625</v>
      </c>
      <c r="AI20" s="115"/>
      <c r="AJ20" s="115">
        <f t="shared" si="15"/>
        <v>0</v>
      </c>
      <c r="AK20" s="115"/>
      <c r="AM20" s="154"/>
      <c r="AN20" s="154"/>
      <c r="AO20" s="154"/>
      <c r="AP20" s="154"/>
      <c r="AQ20" s="154"/>
      <c r="AR20" s="154"/>
      <c r="AS20" s="154"/>
      <c r="AT20" s="154"/>
      <c r="AU20" s="154"/>
      <c r="AV20" s="154"/>
      <c r="AW20" s="154"/>
      <c r="AX20" s="154"/>
      <c r="AY20" s="154"/>
      <c r="AZ20" s="154"/>
      <c r="BA20" s="154"/>
      <c r="BB20" s="154"/>
      <c r="BC20" s="154"/>
      <c r="BD20" s="154"/>
      <c r="BE20" s="154"/>
      <c r="BF20" s="154"/>
      <c r="BG20" s="154"/>
      <c r="BS20" s="13">
        <v>2</v>
      </c>
      <c r="BT20" s="123">
        <v>44491</v>
      </c>
      <c r="BU20" s="116" t="s">
        <v>8</v>
      </c>
      <c r="BV20" s="115" t="s">
        <v>482</v>
      </c>
      <c r="BW20" s="116" t="s">
        <v>502</v>
      </c>
      <c r="BX20" s="115">
        <v>18400</v>
      </c>
      <c r="BY20" s="115">
        <v>41.7</v>
      </c>
      <c r="BZ20" s="115">
        <v>47.945</v>
      </c>
      <c r="CA20" s="119">
        <v>-3216.6708800000001</v>
      </c>
      <c r="CB20" s="115">
        <v>1.1497601918465228</v>
      </c>
      <c r="CC20" s="115">
        <v>500</v>
      </c>
      <c r="CD20" s="115">
        <v>50</v>
      </c>
      <c r="CE20" s="119">
        <v>20850</v>
      </c>
    </row>
    <row r="21" spans="1:83" hidden="1">
      <c r="A21" s="13">
        <f t="shared" si="28"/>
        <v>14</v>
      </c>
      <c r="B21" s="123">
        <v>44600</v>
      </c>
      <c r="C21" s="116" t="s">
        <v>6</v>
      </c>
      <c r="D21" s="116">
        <v>1</v>
      </c>
      <c r="E21" s="115" t="s">
        <v>632</v>
      </c>
      <c r="F21" s="116" t="s">
        <v>130</v>
      </c>
      <c r="G21" s="115"/>
      <c r="H21" s="117">
        <v>44616</v>
      </c>
      <c r="I21" s="115">
        <v>6750</v>
      </c>
      <c r="J21" s="115">
        <v>236.4</v>
      </c>
      <c r="K21" s="115">
        <v>236.7</v>
      </c>
      <c r="L21" s="119">
        <f t="shared" ca="1" si="16"/>
        <v>0</v>
      </c>
      <c r="M21" s="119">
        <f t="shared" si="17"/>
        <v>2024.9999999998849</v>
      </c>
      <c r="N21" s="115">
        <f t="shared" si="47"/>
        <v>1.001269035532995</v>
      </c>
      <c r="O21" s="156">
        <f t="shared" si="48"/>
        <v>177.3</v>
      </c>
      <c r="P21" s="160">
        <f t="shared" si="20"/>
        <v>1595700</v>
      </c>
      <c r="Q21" s="160" t="e">
        <f t="shared" si="49"/>
        <v>#N/A</v>
      </c>
      <c r="R21" s="153" t="e">
        <f t="shared" ca="1" si="22"/>
        <v>#VALUE!</v>
      </c>
      <c r="S21" s="119">
        <f t="shared" si="50"/>
        <v>23.639999999999997</v>
      </c>
      <c r="T21" s="115" t="e">
        <f>VLOOKUP(TRIM($F21),Reference!B:C,2,0)</f>
        <v>#VALUE!</v>
      </c>
      <c r="U21" s="170">
        <f t="shared" ca="1" si="24"/>
        <v>0</v>
      </c>
      <c r="V21" s="120" t="str">
        <f t="shared" si="6"/>
        <v>TATAPOWER22FEBFUT</v>
      </c>
      <c r="W21" s="158" t="e">
        <f>VLOOKUP($V21,Reference!BA:BD,4,0)</f>
        <v>#N/A</v>
      </c>
      <c r="X21" s="160">
        <f t="shared" ca="1" si="7"/>
        <v>0</v>
      </c>
      <c r="Y21" s="160">
        <f t="shared" ca="1" si="8"/>
        <v>0</v>
      </c>
      <c r="Z21" s="160">
        <f t="shared" ca="1" si="25"/>
        <v>0</v>
      </c>
      <c r="AA21" s="160">
        <f t="shared" ca="1" si="9"/>
        <v>0</v>
      </c>
      <c r="AB21" s="160">
        <f t="shared" ca="1" si="10"/>
        <v>0</v>
      </c>
      <c r="AC21" s="119">
        <f t="shared" ca="1" si="11"/>
        <v>0</v>
      </c>
      <c r="AD21" s="115">
        <f t="shared" ca="1" si="51"/>
        <v>-1.5561643835616439</v>
      </c>
      <c r="AE21" s="115">
        <f t="shared" si="52"/>
        <v>20</v>
      </c>
      <c r="AF21" s="115"/>
      <c r="AG21" s="115"/>
      <c r="AH21" s="115">
        <f t="shared" si="14"/>
        <v>0</v>
      </c>
      <c r="AI21" s="115"/>
      <c r="AJ21" s="115">
        <f t="shared" si="15"/>
        <v>47.871000000000002</v>
      </c>
      <c r="AK21" s="115"/>
      <c r="AL21" s="142"/>
      <c r="AM21" s="153"/>
      <c r="AN21" s="153"/>
      <c r="AO21" s="153"/>
      <c r="AP21" s="153"/>
      <c r="AQ21" s="153"/>
      <c r="AR21" s="153"/>
      <c r="AS21" s="153"/>
      <c r="AT21" s="153"/>
      <c r="AU21" s="153"/>
      <c r="AV21" s="153"/>
      <c r="AW21" s="153"/>
      <c r="AX21" s="153"/>
      <c r="AY21" s="153"/>
      <c r="AZ21" s="153"/>
      <c r="BA21" s="153"/>
      <c r="BB21" s="153"/>
      <c r="BC21" s="153"/>
      <c r="BD21" s="153"/>
      <c r="BE21" s="153"/>
      <c r="BF21" s="153"/>
      <c r="BG21" s="153"/>
      <c r="BS21" s="13">
        <v>2</v>
      </c>
      <c r="BT21" s="123">
        <v>44491</v>
      </c>
      <c r="BU21" s="116" t="s">
        <v>8</v>
      </c>
      <c r="BV21" s="115" t="s">
        <v>482</v>
      </c>
      <c r="BW21" s="116" t="s">
        <v>502</v>
      </c>
      <c r="BX21" s="115">
        <v>18400</v>
      </c>
      <c r="BY21" s="115">
        <v>41.7</v>
      </c>
      <c r="BZ21" s="115">
        <v>47.945</v>
      </c>
      <c r="CA21" s="119">
        <v>-3216.6708800000001</v>
      </c>
      <c r="CB21" s="115">
        <v>1.1497601918465228</v>
      </c>
      <c r="CC21" s="115">
        <v>500</v>
      </c>
      <c r="CD21" s="115">
        <v>50</v>
      </c>
      <c r="CE21" s="119">
        <v>20850</v>
      </c>
    </row>
    <row r="22" spans="1:83" hidden="1">
      <c r="A22" s="13">
        <f t="shared" si="28"/>
        <v>15</v>
      </c>
      <c r="B22" s="123">
        <v>44602</v>
      </c>
      <c r="C22" s="116" t="s">
        <v>8</v>
      </c>
      <c r="D22" s="116">
        <v>1</v>
      </c>
      <c r="E22" s="115" t="s">
        <v>481</v>
      </c>
      <c r="F22" s="116" t="s">
        <v>284</v>
      </c>
      <c r="G22" s="115">
        <v>570</v>
      </c>
      <c r="H22" s="117">
        <v>44616</v>
      </c>
      <c r="I22" s="115">
        <v>2850</v>
      </c>
      <c r="J22" s="115">
        <v>1.7</v>
      </c>
      <c r="K22" s="115">
        <v>1.1499999999999999</v>
      </c>
      <c r="L22" s="119">
        <f t="shared" ca="1" si="16"/>
        <v>0</v>
      </c>
      <c r="M22" s="119">
        <f t="shared" si="17"/>
        <v>1567.5000000000002</v>
      </c>
      <c r="N22" s="115">
        <f t="shared" ref="N22:N25" si="53">K22/$J22</f>
        <v>0.67647058823529405</v>
      </c>
      <c r="O22" s="156">
        <f t="shared" ref="O22:O25" si="54">J22*(1+$O$6*IF(C22="B",-1,1))</f>
        <v>2.125</v>
      </c>
      <c r="P22" s="160">
        <f t="shared" si="20"/>
        <v>4845</v>
      </c>
      <c r="Q22" s="160" t="e">
        <f t="shared" ref="Q22:Q25" si="55">(W22-J22)*I22*IF(C22="B",1,-1)*IF(K22=0,1,0)</f>
        <v>#N/A</v>
      </c>
      <c r="R22" s="153" t="e">
        <f t="shared" ca="1" si="22"/>
        <v>#VALUE!</v>
      </c>
      <c r="S22" s="119">
        <f t="shared" ref="S22:S25" si="56">(1-$S$6)*J22</f>
        <v>0.16999999999999996</v>
      </c>
      <c r="T22" s="115" t="e">
        <f>VLOOKUP(TRIM($F22),Reference!B:C,2,0)</f>
        <v>#VALUE!</v>
      </c>
      <c r="U22" s="170">
        <f t="shared" ca="1" si="24"/>
        <v>0</v>
      </c>
      <c r="V22" s="120" t="str">
        <f t="shared" si="6"/>
        <v>TATAMOTORS22FEB570CE</v>
      </c>
      <c r="W22" s="158" t="e">
        <f>VLOOKUP($V22,Reference!BA:BD,4,0)</f>
        <v>#N/A</v>
      </c>
      <c r="X22" s="160">
        <f t="shared" ca="1" si="7"/>
        <v>0</v>
      </c>
      <c r="Y22" s="160">
        <f t="shared" ca="1" si="8"/>
        <v>0</v>
      </c>
      <c r="Z22" s="160">
        <f t="shared" ca="1" si="25"/>
        <v>0</v>
      </c>
      <c r="AA22" s="160">
        <f t="shared" ca="1" si="9"/>
        <v>0</v>
      </c>
      <c r="AB22" s="160">
        <f t="shared" ca="1" si="10"/>
        <v>0</v>
      </c>
      <c r="AC22" s="119">
        <f t="shared" ca="1" si="11"/>
        <v>0</v>
      </c>
      <c r="AD22" s="115">
        <f t="shared" ref="AD22:AD25" ca="1" si="57">(H22-TODAY())/365</f>
        <v>-1.5561643835616439</v>
      </c>
      <c r="AE22" s="115">
        <f t="shared" ref="AE22:AE25" si="58">IF(I22&lt;&gt;0,20,0)</f>
        <v>20</v>
      </c>
      <c r="AF22" s="115"/>
      <c r="AG22" s="115"/>
      <c r="AH22" s="115">
        <f t="shared" si="14"/>
        <v>2.4224999999999999</v>
      </c>
      <c r="AI22" s="115"/>
      <c r="AJ22" s="115">
        <f t="shared" si="15"/>
        <v>0</v>
      </c>
      <c r="AK22" s="115"/>
      <c r="AL22" s="142"/>
      <c r="AM22" s="153"/>
      <c r="AN22" s="153"/>
      <c r="AO22" s="153"/>
      <c r="AP22" s="153"/>
      <c r="AQ22" s="153"/>
      <c r="AR22" s="153"/>
      <c r="AS22" s="153"/>
      <c r="AT22" s="153"/>
      <c r="AU22" s="153"/>
      <c r="AV22" s="153"/>
      <c r="AW22" s="153"/>
      <c r="AX22" s="153"/>
      <c r="AY22" s="153"/>
      <c r="AZ22" s="153"/>
      <c r="BA22" s="153"/>
      <c r="BB22" s="153"/>
      <c r="BC22" s="153"/>
      <c r="BD22" s="153"/>
      <c r="BE22" s="153"/>
      <c r="BF22" s="153"/>
      <c r="BG22" s="153"/>
      <c r="BS22" s="13">
        <v>2</v>
      </c>
      <c r="BT22" s="123">
        <v>44491</v>
      </c>
      <c r="BU22" s="116" t="s">
        <v>8</v>
      </c>
      <c r="BV22" s="115" t="s">
        <v>482</v>
      </c>
      <c r="BW22" s="116" t="s">
        <v>502</v>
      </c>
      <c r="BX22" s="115">
        <v>18400</v>
      </c>
      <c r="BY22" s="115">
        <v>41.7</v>
      </c>
      <c r="BZ22" s="115">
        <v>47.945</v>
      </c>
      <c r="CA22" s="119">
        <v>-3216.6708800000001</v>
      </c>
      <c r="CB22" s="115">
        <v>1.1497601918465228</v>
      </c>
      <c r="CC22" s="115">
        <v>500</v>
      </c>
      <c r="CD22" s="115">
        <v>50</v>
      </c>
      <c r="CE22" s="119">
        <v>20850</v>
      </c>
    </row>
    <row r="23" spans="1:83" hidden="1">
      <c r="A23" s="13">
        <f t="shared" si="28"/>
        <v>16</v>
      </c>
      <c r="B23" s="123">
        <v>44602</v>
      </c>
      <c r="C23" s="116" t="s">
        <v>8</v>
      </c>
      <c r="D23" s="116">
        <v>1</v>
      </c>
      <c r="E23" s="115" t="s">
        <v>482</v>
      </c>
      <c r="F23" s="116" t="s">
        <v>284</v>
      </c>
      <c r="G23" s="115">
        <v>450</v>
      </c>
      <c r="H23" s="117">
        <v>44616</v>
      </c>
      <c r="I23" s="115">
        <v>2850</v>
      </c>
      <c r="J23" s="115">
        <v>1.35</v>
      </c>
      <c r="K23" s="115">
        <v>3.75</v>
      </c>
      <c r="L23" s="119">
        <f t="shared" ca="1" si="16"/>
        <v>0</v>
      </c>
      <c r="M23" s="119">
        <f t="shared" si="17"/>
        <v>-6840</v>
      </c>
      <c r="N23" s="115">
        <f t="shared" si="53"/>
        <v>2.7777777777777777</v>
      </c>
      <c r="O23" s="156">
        <f t="shared" si="54"/>
        <v>1.6875</v>
      </c>
      <c r="P23" s="160">
        <f t="shared" si="20"/>
        <v>3847.5000000000005</v>
      </c>
      <c r="Q23" s="160" t="e">
        <f t="shared" si="55"/>
        <v>#N/A</v>
      </c>
      <c r="R23" s="153" t="e">
        <f t="shared" ca="1" si="22"/>
        <v>#VALUE!</v>
      </c>
      <c r="S23" s="119">
        <f t="shared" si="56"/>
        <v>0.13499999999999998</v>
      </c>
      <c r="T23" s="115" t="e">
        <f>VLOOKUP(TRIM($F23),Reference!B:C,2,0)</f>
        <v>#VALUE!</v>
      </c>
      <c r="U23" s="170">
        <f t="shared" ca="1" si="24"/>
        <v>0</v>
      </c>
      <c r="V23" s="120" t="str">
        <f t="shared" si="6"/>
        <v>TATAMOTORS22FEB450PE</v>
      </c>
      <c r="W23" s="158" t="e">
        <f>VLOOKUP($V23,Reference!BA:BD,4,0)</f>
        <v>#N/A</v>
      </c>
      <c r="X23" s="160">
        <f t="shared" ca="1" si="7"/>
        <v>0</v>
      </c>
      <c r="Y23" s="160">
        <f t="shared" ca="1" si="8"/>
        <v>0</v>
      </c>
      <c r="Z23" s="160">
        <f t="shared" ca="1" si="25"/>
        <v>0</v>
      </c>
      <c r="AA23" s="160">
        <f t="shared" ca="1" si="9"/>
        <v>0</v>
      </c>
      <c r="AB23" s="160">
        <f t="shared" ca="1" si="10"/>
        <v>0</v>
      </c>
      <c r="AC23" s="119">
        <f t="shared" ca="1" si="11"/>
        <v>0</v>
      </c>
      <c r="AD23" s="115">
        <f t="shared" ca="1" si="57"/>
        <v>-1.5561643835616439</v>
      </c>
      <c r="AE23" s="115">
        <f t="shared" si="58"/>
        <v>20</v>
      </c>
      <c r="AF23" s="115"/>
      <c r="AG23" s="115"/>
      <c r="AH23" s="115">
        <f t="shared" si="14"/>
        <v>1.9237500000000003</v>
      </c>
      <c r="AI23" s="115"/>
      <c r="AJ23" s="115">
        <f t="shared" si="15"/>
        <v>0</v>
      </c>
      <c r="AK23" s="115"/>
      <c r="AL23" s="142"/>
      <c r="AM23" s="153"/>
      <c r="AN23" s="153"/>
      <c r="AO23" s="153"/>
      <c r="AP23" s="153"/>
      <c r="AQ23" s="153"/>
      <c r="AR23" s="153"/>
      <c r="AS23" s="153"/>
      <c r="AT23" s="153"/>
      <c r="AU23" s="153"/>
      <c r="AV23" s="153"/>
      <c r="AW23" s="153"/>
      <c r="AX23" s="153"/>
      <c r="AY23" s="153"/>
      <c r="AZ23" s="153"/>
      <c r="BA23" s="153"/>
      <c r="BB23" s="153"/>
      <c r="BC23" s="153"/>
      <c r="BD23" s="153"/>
      <c r="BE23" s="153"/>
      <c r="BF23" s="153"/>
      <c r="BG23" s="153"/>
      <c r="BS23" s="13">
        <v>2</v>
      </c>
      <c r="BT23" s="123">
        <v>44491</v>
      </c>
      <c r="BU23" s="116" t="s">
        <v>8</v>
      </c>
      <c r="BV23" s="115" t="s">
        <v>482</v>
      </c>
      <c r="BW23" s="116" t="s">
        <v>502</v>
      </c>
      <c r="BX23" s="115">
        <v>18400</v>
      </c>
      <c r="BY23" s="115">
        <v>41.7</v>
      </c>
      <c r="BZ23" s="115">
        <v>47.945</v>
      </c>
      <c r="CA23" s="119">
        <v>-3216.6708800000001</v>
      </c>
      <c r="CB23" s="115">
        <v>1.1497601918465228</v>
      </c>
      <c r="CC23" s="115">
        <v>500</v>
      </c>
      <c r="CD23" s="115">
        <v>50</v>
      </c>
      <c r="CE23" s="119">
        <v>20850</v>
      </c>
    </row>
    <row r="24" spans="1:83" hidden="1">
      <c r="A24" s="13">
        <f t="shared" si="28"/>
        <v>17</v>
      </c>
      <c r="B24" s="123">
        <v>44602</v>
      </c>
      <c r="C24" s="116" t="s">
        <v>6</v>
      </c>
      <c r="D24" s="116">
        <v>1</v>
      </c>
      <c r="E24" s="115" t="s">
        <v>632</v>
      </c>
      <c r="F24" s="116" t="s">
        <v>130</v>
      </c>
      <c r="G24" s="115"/>
      <c r="H24" s="117">
        <v>44616</v>
      </c>
      <c r="I24" s="115">
        <v>6750</v>
      </c>
      <c r="J24" s="115">
        <v>242.2</v>
      </c>
      <c r="K24" s="115">
        <v>234.2</v>
      </c>
      <c r="L24" s="119">
        <f t="shared" ca="1" si="16"/>
        <v>0</v>
      </c>
      <c r="M24" s="119">
        <f t="shared" si="17"/>
        <v>-54000</v>
      </c>
      <c r="N24" s="115">
        <f t="shared" si="53"/>
        <v>0.96696944673823282</v>
      </c>
      <c r="O24" s="156">
        <f t="shared" si="54"/>
        <v>181.64999999999998</v>
      </c>
      <c r="P24" s="160">
        <f t="shared" si="20"/>
        <v>1634850</v>
      </c>
      <c r="Q24" s="160" t="e">
        <f t="shared" si="55"/>
        <v>#N/A</v>
      </c>
      <c r="R24" s="153" t="e">
        <f t="shared" ca="1" si="22"/>
        <v>#VALUE!</v>
      </c>
      <c r="S24" s="119">
        <f t="shared" si="56"/>
        <v>24.219999999999992</v>
      </c>
      <c r="T24" s="115" t="e">
        <f>VLOOKUP(TRIM($F24),Reference!B:C,2,0)</f>
        <v>#VALUE!</v>
      </c>
      <c r="U24" s="170">
        <f t="shared" ca="1" si="24"/>
        <v>0</v>
      </c>
      <c r="V24" s="120" t="str">
        <f t="shared" si="6"/>
        <v>TATAPOWER22FEBFUT</v>
      </c>
      <c r="W24" s="158" t="e">
        <f>VLOOKUP($V24,Reference!BA:BD,4,0)</f>
        <v>#N/A</v>
      </c>
      <c r="X24" s="160">
        <f t="shared" ca="1" si="7"/>
        <v>0</v>
      </c>
      <c r="Y24" s="160">
        <f t="shared" ca="1" si="8"/>
        <v>0</v>
      </c>
      <c r="Z24" s="160">
        <f t="shared" ca="1" si="25"/>
        <v>0</v>
      </c>
      <c r="AA24" s="160">
        <f t="shared" ca="1" si="9"/>
        <v>0</v>
      </c>
      <c r="AB24" s="160">
        <f t="shared" ca="1" si="10"/>
        <v>0</v>
      </c>
      <c r="AC24" s="119">
        <f t="shared" ca="1" si="11"/>
        <v>0</v>
      </c>
      <c r="AD24" s="115">
        <f t="shared" ca="1" si="57"/>
        <v>-1.5561643835616439</v>
      </c>
      <c r="AE24" s="115">
        <f t="shared" si="58"/>
        <v>20</v>
      </c>
      <c r="AF24" s="115"/>
      <c r="AG24" s="115"/>
      <c r="AH24" s="115">
        <f t="shared" si="14"/>
        <v>0</v>
      </c>
      <c r="AI24" s="115"/>
      <c r="AJ24" s="115">
        <f t="shared" si="15"/>
        <v>49.045500000000004</v>
      </c>
      <c r="AK24" s="115"/>
      <c r="AL24" s="142"/>
      <c r="AM24" s="153"/>
      <c r="AN24" s="153"/>
      <c r="AO24" s="153"/>
      <c r="AP24" s="153"/>
      <c r="AQ24" s="153"/>
      <c r="AR24" s="153"/>
      <c r="AS24" s="153"/>
      <c r="AT24" s="153"/>
      <c r="AU24" s="153"/>
      <c r="AV24" s="153"/>
      <c r="AW24" s="153"/>
      <c r="AX24" s="153"/>
      <c r="AY24" s="153"/>
      <c r="AZ24" s="153"/>
      <c r="BA24" s="153"/>
      <c r="BB24" s="153"/>
      <c r="BC24" s="153"/>
      <c r="BD24" s="153"/>
      <c r="BE24" s="153"/>
      <c r="BF24" s="153"/>
      <c r="BG24" s="153"/>
      <c r="BS24" s="13">
        <v>2</v>
      </c>
      <c r="BT24" s="123">
        <v>44491</v>
      </c>
      <c r="BU24" s="116" t="s">
        <v>8</v>
      </c>
      <c r="BV24" s="115" t="s">
        <v>482</v>
      </c>
      <c r="BW24" s="116" t="s">
        <v>502</v>
      </c>
      <c r="BX24" s="115">
        <v>18400</v>
      </c>
      <c r="BY24" s="115">
        <v>41.7</v>
      </c>
      <c r="BZ24" s="115">
        <v>47.945</v>
      </c>
      <c r="CA24" s="119">
        <v>-3216.6708800000001</v>
      </c>
      <c r="CB24" s="115">
        <v>1.1497601918465228</v>
      </c>
      <c r="CC24" s="115">
        <v>500</v>
      </c>
      <c r="CD24" s="115">
        <v>50</v>
      </c>
      <c r="CE24" s="119">
        <v>20850</v>
      </c>
    </row>
    <row r="25" spans="1:83" hidden="1">
      <c r="A25" s="13">
        <f t="shared" si="28"/>
        <v>18</v>
      </c>
      <c r="B25" s="123">
        <v>44602</v>
      </c>
      <c r="C25" s="116" t="s">
        <v>8</v>
      </c>
      <c r="D25" s="116">
        <v>1</v>
      </c>
      <c r="E25" s="115" t="s">
        <v>481</v>
      </c>
      <c r="F25" s="116" t="s">
        <v>130</v>
      </c>
      <c r="G25" s="115">
        <v>260</v>
      </c>
      <c r="H25" s="117">
        <v>44616</v>
      </c>
      <c r="I25" s="115">
        <v>20250</v>
      </c>
      <c r="J25" s="115">
        <v>2.4</v>
      </c>
      <c r="K25" s="115">
        <v>0.05</v>
      </c>
      <c r="L25" s="119">
        <f t="shared" ca="1" si="16"/>
        <v>0</v>
      </c>
      <c r="M25" s="119">
        <f t="shared" si="17"/>
        <v>47587.5</v>
      </c>
      <c r="N25" s="115">
        <f t="shared" si="53"/>
        <v>2.0833333333333336E-2</v>
      </c>
      <c r="O25" s="156">
        <f t="shared" si="54"/>
        <v>3</v>
      </c>
      <c r="P25" s="160">
        <f t="shared" si="20"/>
        <v>48600</v>
      </c>
      <c r="Q25" s="160" t="e">
        <f t="shared" si="55"/>
        <v>#N/A</v>
      </c>
      <c r="R25" s="153" t="e">
        <f t="shared" ca="1" si="22"/>
        <v>#VALUE!</v>
      </c>
      <c r="S25" s="119">
        <f t="shared" si="56"/>
        <v>0.23999999999999994</v>
      </c>
      <c r="T25" s="115" t="e">
        <f>VLOOKUP(TRIM($F25),Reference!B:C,2,0)</f>
        <v>#VALUE!</v>
      </c>
      <c r="U25" s="170">
        <f t="shared" ca="1" si="24"/>
        <v>0</v>
      </c>
      <c r="V25" s="120" t="str">
        <f t="shared" si="6"/>
        <v>TATAPOWER22FEB260CE</v>
      </c>
      <c r="W25" s="158" t="e">
        <f>VLOOKUP($V25,Reference!BA:BD,4,0)</f>
        <v>#N/A</v>
      </c>
      <c r="X25" s="160">
        <f t="shared" ca="1" si="7"/>
        <v>0</v>
      </c>
      <c r="Y25" s="160">
        <f t="shared" ca="1" si="8"/>
        <v>0</v>
      </c>
      <c r="Z25" s="160">
        <f t="shared" ca="1" si="25"/>
        <v>0</v>
      </c>
      <c r="AA25" s="160">
        <f t="shared" ca="1" si="9"/>
        <v>0</v>
      </c>
      <c r="AB25" s="160">
        <f t="shared" ca="1" si="10"/>
        <v>0</v>
      </c>
      <c r="AC25" s="119">
        <f t="shared" ca="1" si="11"/>
        <v>0</v>
      </c>
      <c r="AD25" s="115">
        <f t="shared" ca="1" si="57"/>
        <v>-1.5561643835616439</v>
      </c>
      <c r="AE25" s="115">
        <f t="shared" si="58"/>
        <v>20</v>
      </c>
      <c r="AF25" s="115"/>
      <c r="AG25" s="115"/>
      <c r="AH25" s="115">
        <f t="shared" si="14"/>
        <v>24.3</v>
      </c>
      <c r="AI25" s="115"/>
      <c r="AJ25" s="115">
        <f t="shared" si="15"/>
        <v>0</v>
      </c>
      <c r="AK25" s="115"/>
      <c r="AL25" s="142"/>
      <c r="AM25" s="153"/>
      <c r="AN25" s="153"/>
      <c r="AO25" s="153"/>
      <c r="AP25" s="153"/>
      <c r="AQ25" s="153"/>
      <c r="AR25" s="153"/>
      <c r="AS25" s="153"/>
      <c r="AT25" s="153"/>
      <c r="AU25" s="153"/>
      <c r="AV25" s="153"/>
      <c r="AW25" s="153"/>
      <c r="AX25" s="153"/>
      <c r="AY25" s="153"/>
      <c r="AZ25" s="153"/>
      <c r="BA25" s="153"/>
      <c r="BB25" s="153"/>
      <c r="BC25" s="153"/>
      <c r="BD25" s="153"/>
      <c r="BE25" s="153"/>
      <c r="BF25" s="153"/>
      <c r="BG25" s="153"/>
      <c r="BS25" s="13">
        <v>2</v>
      </c>
      <c r="BT25" s="123">
        <v>44491</v>
      </c>
      <c r="BU25" s="116" t="s">
        <v>8</v>
      </c>
      <c r="BV25" s="115" t="s">
        <v>482</v>
      </c>
      <c r="BW25" s="116" t="s">
        <v>502</v>
      </c>
      <c r="BX25" s="115">
        <v>18400</v>
      </c>
      <c r="BY25" s="115">
        <v>41.7</v>
      </c>
      <c r="BZ25" s="115">
        <v>47.945</v>
      </c>
      <c r="CA25" s="119">
        <v>-3216.6708800000001</v>
      </c>
      <c r="CB25" s="115">
        <v>1.1497601918465228</v>
      </c>
      <c r="CC25" s="115">
        <v>500</v>
      </c>
      <c r="CD25" s="115">
        <v>50</v>
      </c>
      <c r="CE25" s="119">
        <v>20850</v>
      </c>
    </row>
    <row r="26" spans="1:83" hidden="1">
      <c r="A26" s="13">
        <f t="shared" si="28"/>
        <v>19</v>
      </c>
      <c r="B26" s="123">
        <v>44606</v>
      </c>
      <c r="C26" s="116" t="s">
        <v>6</v>
      </c>
      <c r="D26" s="116">
        <v>1</v>
      </c>
      <c r="E26" s="115" t="s">
        <v>632</v>
      </c>
      <c r="F26" s="116" t="s">
        <v>502</v>
      </c>
      <c r="G26" s="115"/>
      <c r="H26" s="117">
        <v>44651</v>
      </c>
      <c r="I26" s="115">
        <v>50</v>
      </c>
      <c r="J26" s="115">
        <v>17102</v>
      </c>
      <c r="K26" s="115">
        <v>17442.650000000001</v>
      </c>
      <c r="L26" s="119">
        <f t="shared" ca="1" si="16"/>
        <v>0</v>
      </c>
      <c r="M26" s="119">
        <f t="shared" si="17"/>
        <v>17032.500000000073</v>
      </c>
      <c r="N26" s="115">
        <f t="shared" ref="N26" si="59">K26/$J26</f>
        <v>1.0199187229563795</v>
      </c>
      <c r="O26" s="156">
        <f t="shared" ref="O26" si="60">J26*(1+$O$6*IF(C26="B",-1,1))</f>
        <v>12826.5</v>
      </c>
      <c r="P26" s="160">
        <f t="shared" si="20"/>
        <v>855100</v>
      </c>
      <c r="Q26" s="160" t="e">
        <f t="shared" ref="Q26" si="61">(W26-J26)*I26*IF(C26="B",1,-1)*IF(K26=0,1,0)</f>
        <v>#N/A</v>
      </c>
      <c r="R26" s="153" t="e">
        <f t="shared" ca="1" si="22"/>
        <v>#VALUE!</v>
      </c>
      <c r="S26" s="119">
        <f t="shared" ref="S26" si="62">(1-$S$6)*J26</f>
        <v>1710.1999999999996</v>
      </c>
      <c r="T26" s="115" t="str">
        <f>VLOOKUP(TRIM($F26),Reference!B:C,2,0)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6" s="170">
        <f t="shared" ref="U26" ca="1" si="63">AC26</f>
        <v>0</v>
      </c>
      <c r="V26" s="120" t="str">
        <f t="shared" si="6"/>
        <v>NIFTY22MARFUT</v>
      </c>
      <c r="W26" s="158" t="e">
        <f>VLOOKUP($V26,Reference!BA:BD,4,0)</f>
        <v>#N/A</v>
      </c>
      <c r="X26" s="160">
        <f t="shared" ca="1" si="7"/>
        <v>0</v>
      </c>
      <c r="Y26" s="160">
        <f t="shared" ca="1" si="8"/>
        <v>0</v>
      </c>
      <c r="Z26" s="160">
        <f t="shared" ca="1" si="25"/>
        <v>0</v>
      </c>
      <c r="AA26" s="160">
        <f t="shared" ca="1" si="9"/>
        <v>0</v>
      </c>
      <c r="AB26" s="160">
        <f t="shared" ca="1" si="10"/>
        <v>0</v>
      </c>
      <c r="AC26" s="119">
        <f t="shared" ca="1" si="11"/>
        <v>0</v>
      </c>
      <c r="AD26" s="115">
        <f t="shared" ref="AD26" ca="1" si="64">(H26-TODAY())/365</f>
        <v>-1.4602739726027398</v>
      </c>
      <c r="AE26" s="115">
        <f t="shared" ref="AE26" si="65">IF(I26&lt;&gt;0,20,0)</f>
        <v>20</v>
      </c>
      <c r="AF26" s="115"/>
      <c r="AG26" s="115"/>
      <c r="AH26" s="115">
        <f t="shared" si="14"/>
        <v>0</v>
      </c>
      <c r="AI26" s="115"/>
      <c r="AJ26" s="115">
        <f t="shared" si="15"/>
        <v>25.653000000000002</v>
      </c>
      <c r="AK26" s="115"/>
      <c r="AL26" s="142"/>
      <c r="AM26" s="153"/>
      <c r="AN26" s="153"/>
      <c r="AO26" s="153"/>
      <c r="AP26" s="153"/>
      <c r="AQ26" s="153"/>
      <c r="AR26" s="153"/>
      <c r="AS26" s="153"/>
      <c r="AT26" s="153"/>
      <c r="AU26" s="153"/>
      <c r="AV26" s="153"/>
      <c r="AW26" s="153"/>
      <c r="AX26" s="153"/>
      <c r="AY26" s="153"/>
      <c r="AZ26" s="153"/>
      <c r="BA26" s="153"/>
      <c r="BB26" s="153"/>
      <c r="BC26" s="153"/>
      <c r="BD26" s="153"/>
      <c r="BE26" s="153"/>
      <c r="BF26" s="153"/>
      <c r="BG26" s="153"/>
      <c r="BS26" s="13">
        <v>2</v>
      </c>
      <c r="BT26" s="123">
        <v>44491</v>
      </c>
      <c r="BU26" s="116" t="s">
        <v>8</v>
      </c>
      <c r="BV26" s="115" t="s">
        <v>482</v>
      </c>
      <c r="BW26" s="116" t="s">
        <v>502</v>
      </c>
      <c r="BX26" s="115">
        <v>18400</v>
      </c>
      <c r="BY26" s="115">
        <v>41.7</v>
      </c>
      <c r="BZ26" s="115">
        <v>47.945</v>
      </c>
      <c r="CA26" s="119">
        <v>-3216.6708800000001</v>
      </c>
      <c r="CB26" s="115">
        <v>1.1497601918465228</v>
      </c>
      <c r="CC26" s="115">
        <v>500</v>
      </c>
      <c r="CD26" s="115">
        <v>50</v>
      </c>
      <c r="CE26" s="119">
        <v>20850</v>
      </c>
    </row>
    <row r="27" spans="1:83" hidden="1">
      <c r="A27" s="13">
        <f t="shared" si="28"/>
        <v>20</v>
      </c>
      <c r="B27" s="123">
        <v>44607</v>
      </c>
      <c r="C27" s="116" t="s">
        <v>8</v>
      </c>
      <c r="D27" s="116">
        <v>1</v>
      </c>
      <c r="E27" s="115" t="s">
        <v>482</v>
      </c>
      <c r="F27" s="116" t="s">
        <v>502</v>
      </c>
      <c r="G27" s="115">
        <v>14500</v>
      </c>
      <c r="H27" s="117">
        <v>44651</v>
      </c>
      <c r="I27" s="115">
        <v>200</v>
      </c>
      <c r="J27" s="115">
        <v>36.92</v>
      </c>
      <c r="K27" s="115">
        <v>127.75</v>
      </c>
      <c r="L27" s="119">
        <f t="shared" ca="1" si="16"/>
        <v>0</v>
      </c>
      <c r="M27" s="119">
        <f t="shared" si="17"/>
        <v>-18166</v>
      </c>
      <c r="N27" s="115">
        <f t="shared" ref="N27:N29" si="66">K27/$J27</f>
        <v>3.4601841820151678</v>
      </c>
      <c r="O27" s="156">
        <f t="shared" ref="O27:O29" si="67">J27*(1+$O$6*IF(C27="B",-1,1))</f>
        <v>46.150000000000006</v>
      </c>
      <c r="P27" s="160">
        <f t="shared" si="20"/>
        <v>7384</v>
      </c>
      <c r="Q27" s="160" t="e">
        <f t="shared" ref="Q27:Q29" si="68">(W27-J27)*I27*IF(C27="B",1,-1)*IF(K27=0,1,0)</f>
        <v>#N/A</v>
      </c>
      <c r="R27" s="153" t="e">
        <f t="shared" ca="1" si="22"/>
        <v>#VALUE!</v>
      </c>
      <c r="S27" s="119">
        <f t="shared" ref="S27:S29" si="69">(1-$S$6)*J27</f>
        <v>3.6919999999999993</v>
      </c>
      <c r="T27" s="115" t="str">
        <f>VLOOKUP(TRIM($F27),Reference!B:C,2,0)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7" s="120">
        <f t="shared" ref="U27:U29" ca="1" si="70">AC27</f>
        <v>0</v>
      </c>
      <c r="V27" s="120" t="str">
        <f t="shared" si="6"/>
        <v>NIFTY22MAR14500PE</v>
      </c>
      <c r="W27" s="158" t="e">
        <f>VLOOKUP($V27,Reference!BA:BD,4,0)</f>
        <v>#N/A</v>
      </c>
      <c r="X27" s="160">
        <f t="shared" ca="1" si="7"/>
        <v>0</v>
      </c>
      <c r="Y27" s="160">
        <f t="shared" ca="1" si="8"/>
        <v>0</v>
      </c>
      <c r="Z27" s="160">
        <f t="shared" ca="1" si="25"/>
        <v>0</v>
      </c>
      <c r="AA27" s="160">
        <f t="shared" ca="1" si="9"/>
        <v>0</v>
      </c>
      <c r="AB27" s="160">
        <f t="shared" ca="1" si="10"/>
        <v>0</v>
      </c>
      <c r="AC27" s="119">
        <f t="shared" ca="1" si="11"/>
        <v>0</v>
      </c>
      <c r="AD27" s="115">
        <f t="shared" ref="AD27:AD29" ca="1" si="71">(H27-TODAY())/365</f>
        <v>-1.4602739726027398</v>
      </c>
      <c r="AE27" s="115">
        <f t="shared" ref="AE27:AE29" si="72">IF(I27&lt;&gt;0,20,0)</f>
        <v>20</v>
      </c>
      <c r="AF27" s="115"/>
      <c r="AG27" s="115"/>
      <c r="AH27" s="115">
        <f t="shared" si="14"/>
        <v>3.6920000000000002</v>
      </c>
      <c r="AI27" s="115"/>
      <c r="AJ27" s="115">
        <f t="shared" si="15"/>
        <v>0</v>
      </c>
      <c r="AK27" s="115"/>
      <c r="AL27" s="140">
        <v>1</v>
      </c>
      <c r="AM27" s="154"/>
      <c r="AN27" s="154"/>
      <c r="AO27" s="154"/>
      <c r="AP27" s="154"/>
      <c r="AQ27" s="154"/>
      <c r="AR27" s="154"/>
      <c r="AS27" s="154"/>
      <c r="AT27" s="154"/>
      <c r="AU27" s="154"/>
      <c r="AV27" s="154"/>
      <c r="AW27" s="154"/>
      <c r="AX27" s="154"/>
      <c r="AY27" s="154"/>
      <c r="AZ27" s="154"/>
      <c r="BA27" s="154"/>
      <c r="BB27" s="154"/>
      <c r="BC27" s="154"/>
      <c r="BD27" s="154"/>
      <c r="BE27" s="154"/>
      <c r="BF27" s="154"/>
      <c r="BG27" s="154"/>
      <c r="BS27" s="11">
        <v>3</v>
      </c>
      <c r="BT27" s="11">
        <v>44491</v>
      </c>
      <c r="BU27" s="11" t="s">
        <v>8</v>
      </c>
      <c r="BV27" s="11" t="s">
        <v>481</v>
      </c>
      <c r="BW27" s="11" t="s">
        <v>502</v>
      </c>
      <c r="BX27" s="11">
        <v>18700</v>
      </c>
      <c r="BY27" s="11">
        <v>34.75</v>
      </c>
      <c r="BZ27" s="11">
        <v>0.05</v>
      </c>
      <c r="CA27" s="11">
        <v>17263.657599999999</v>
      </c>
      <c r="CB27" s="11">
        <v>1.4388489208633094E-3</v>
      </c>
      <c r="CC27" s="11">
        <v>500</v>
      </c>
      <c r="CD27" s="11">
        <v>50</v>
      </c>
      <c r="CE27" s="11">
        <v>17375</v>
      </c>
    </row>
    <row r="28" spans="1:83" hidden="1">
      <c r="A28" s="13">
        <f t="shared" si="28"/>
        <v>21</v>
      </c>
      <c r="B28" s="123">
        <v>44607</v>
      </c>
      <c r="C28" s="116" t="s">
        <v>8</v>
      </c>
      <c r="D28" s="116">
        <v>1</v>
      </c>
      <c r="E28" s="115" t="s">
        <v>482</v>
      </c>
      <c r="F28" s="116" t="s">
        <v>502</v>
      </c>
      <c r="G28" s="115">
        <v>15000</v>
      </c>
      <c r="H28" s="117">
        <v>44651</v>
      </c>
      <c r="I28" s="115">
        <v>200</v>
      </c>
      <c r="J28" s="115">
        <v>59.27</v>
      </c>
      <c r="K28" s="115">
        <v>212.1</v>
      </c>
      <c r="L28" s="119">
        <f t="shared" ca="1" si="16"/>
        <v>0</v>
      </c>
      <c r="M28" s="119">
        <f t="shared" si="17"/>
        <v>-30565.999999999996</v>
      </c>
      <c r="N28" s="115">
        <f t="shared" si="66"/>
        <v>3.5785388898262189</v>
      </c>
      <c r="O28" s="156">
        <f t="shared" si="67"/>
        <v>74.087500000000006</v>
      </c>
      <c r="P28" s="160">
        <f t="shared" si="20"/>
        <v>11854</v>
      </c>
      <c r="Q28" s="160" t="e">
        <f t="shared" si="68"/>
        <v>#N/A</v>
      </c>
      <c r="R28" s="153" t="e">
        <f t="shared" ca="1" si="22"/>
        <v>#VALUE!</v>
      </c>
      <c r="S28" s="119">
        <f t="shared" si="69"/>
        <v>5.9269999999999987</v>
      </c>
      <c r="T28" s="115" t="str">
        <f>VLOOKUP(TRIM($F28),Reference!B:C,2,0)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8" s="120">
        <f t="shared" ca="1" si="70"/>
        <v>0</v>
      </c>
      <c r="V28" s="120" t="str">
        <f t="shared" si="6"/>
        <v>NIFTY22MAR15000PE</v>
      </c>
      <c r="W28" s="158" t="e">
        <f>VLOOKUP($V28,Reference!BA:BD,4,0)</f>
        <v>#N/A</v>
      </c>
      <c r="X28" s="160">
        <f t="shared" ca="1" si="7"/>
        <v>0</v>
      </c>
      <c r="Y28" s="160">
        <f t="shared" ca="1" si="8"/>
        <v>0</v>
      </c>
      <c r="Z28" s="160">
        <f t="shared" ca="1" si="25"/>
        <v>0</v>
      </c>
      <c r="AA28" s="160">
        <f t="shared" ca="1" si="9"/>
        <v>0</v>
      </c>
      <c r="AB28" s="160">
        <f t="shared" ca="1" si="10"/>
        <v>0</v>
      </c>
      <c r="AC28" s="119">
        <f t="shared" ca="1" si="11"/>
        <v>0</v>
      </c>
      <c r="AD28" s="115">
        <f t="shared" ca="1" si="71"/>
        <v>-1.4602739726027398</v>
      </c>
      <c r="AE28" s="115">
        <f t="shared" si="72"/>
        <v>20</v>
      </c>
      <c r="AF28" s="115"/>
      <c r="AG28" s="115"/>
      <c r="AH28" s="115">
        <f t="shared" si="14"/>
        <v>5.9270000000000005</v>
      </c>
      <c r="AI28" s="115"/>
      <c r="AJ28" s="115">
        <f t="shared" si="15"/>
        <v>0</v>
      </c>
      <c r="AK28" s="115"/>
      <c r="AL28" s="140">
        <v>1</v>
      </c>
      <c r="AM28" s="154"/>
      <c r="AN28" s="154"/>
      <c r="AO28" s="154"/>
      <c r="AP28" s="154"/>
      <c r="AQ28" s="154"/>
      <c r="AR28" s="154"/>
      <c r="AS28" s="154"/>
      <c r="AT28" s="154"/>
      <c r="AU28" s="154"/>
      <c r="AV28" s="154"/>
      <c r="AW28" s="154"/>
      <c r="AX28" s="154"/>
      <c r="AY28" s="154"/>
      <c r="AZ28" s="154"/>
      <c r="BA28" s="154"/>
      <c r="BB28" s="154"/>
      <c r="BC28" s="154"/>
      <c r="BD28" s="154"/>
      <c r="BE28" s="154"/>
      <c r="BF28" s="154"/>
      <c r="BG28" s="154"/>
      <c r="BS28" s="11">
        <v>3</v>
      </c>
      <c r="BT28" s="11">
        <v>44491</v>
      </c>
      <c r="BU28" s="11" t="s">
        <v>8</v>
      </c>
      <c r="BV28" s="11" t="s">
        <v>481</v>
      </c>
      <c r="BW28" s="11" t="s">
        <v>502</v>
      </c>
      <c r="BX28" s="11">
        <v>18700</v>
      </c>
      <c r="BY28" s="11">
        <v>34.75</v>
      </c>
      <c r="BZ28" s="11">
        <v>0.05</v>
      </c>
      <c r="CA28" s="11">
        <v>17263.657599999999</v>
      </c>
      <c r="CB28" s="11">
        <v>1.4388489208633094E-3</v>
      </c>
      <c r="CC28" s="11">
        <v>500</v>
      </c>
      <c r="CD28" s="11">
        <v>50</v>
      </c>
      <c r="CE28" s="11">
        <v>17375</v>
      </c>
    </row>
    <row r="29" spans="1:83" hidden="1">
      <c r="A29" s="13">
        <f t="shared" si="28"/>
        <v>22</v>
      </c>
      <c r="B29" s="123">
        <v>44607</v>
      </c>
      <c r="C29" s="116" t="s">
        <v>8</v>
      </c>
      <c r="D29" s="116">
        <v>1</v>
      </c>
      <c r="E29" s="115" t="s">
        <v>482</v>
      </c>
      <c r="F29" s="116" t="s">
        <v>284</v>
      </c>
      <c r="G29" s="115">
        <v>400</v>
      </c>
      <c r="H29" s="117">
        <v>44651</v>
      </c>
      <c r="I29" s="115">
        <v>2850</v>
      </c>
      <c r="J29" s="115">
        <v>6</v>
      </c>
      <c r="K29" s="115">
        <v>3.75</v>
      </c>
      <c r="L29" s="119">
        <f t="shared" ca="1" si="16"/>
        <v>0</v>
      </c>
      <c r="M29" s="119">
        <f t="shared" si="17"/>
        <v>6412.5</v>
      </c>
      <c r="N29" s="115">
        <f t="shared" si="66"/>
        <v>0.625</v>
      </c>
      <c r="O29" s="156">
        <f t="shared" si="67"/>
        <v>7.5</v>
      </c>
      <c r="P29" s="160">
        <f t="shared" si="20"/>
        <v>17100</v>
      </c>
      <c r="Q29" s="160" t="e">
        <f t="shared" si="68"/>
        <v>#N/A</v>
      </c>
      <c r="R29" s="153" t="e">
        <f t="shared" ca="1" si="22"/>
        <v>#VALUE!</v>
      </c>
      <c r="S29" s="119">
        <f t="shared" si="69"/>
        <v>0.59999999999999987</v>
      </c>
      <c r="T29" s="115" t="e">
        <f>VLOOKUP(TRIM($F29),Reference!B:C,2,0)</f>
        <v>#VALUE!</v>
      </c>
      <c r="U29" s="170">
        <f t="shared" ca="1" si="70"/>
        <v>0</v>
      </c>
      <c r="V29" s="120" t="str">
        <f t="shared" si="6"/>
        <v>TATAMOTORS22MAR400PE</v>
      </c>
      <c r="W29" s="158" t="e">
        <f>VLOOKUP($V29,Reference!BA:BD,4,0)</f>
        <v>#N/A</v>
      </c>
      <c r="X29" s="160">
        <f t="shared" ca="1" si="7"/>
        <v>0</v>
      </c>
      <c r="Y29" s="160">
        <f t="shared" ca="1" si="8"/>
        <v>0</v>
      </c>
      <c r="Z29" s="160">
        <f t="shared" ca="1" si="25"/>
        <v>0</v>
      </c>
      <c r="AA29" s="160">
        <f t="shared" ca="1" si="9"/>
        <v>0</v>
      </c>
      <c r="AB29" s="160">
        <f t="shared" ca="1" si="10"/>
        <v>0</v>
      </c>
      <c r="AC29" s="119">
        <f t="shared" ca="1" si="11"/>
        <v>0</v>
      </c>
      <c r="AD29" s="115">
        <f t="shared" ca="1" si="71"/>
        <v>-1.4602739726027398</v>
      </c>
      <c r="AE29" s="115">
        <f t="shared" si="72"/>
        <v>20</v>
      </c>
      <c r="AF29" s="115"/>
      <c r="AG29" s="115"/>
      <c r="AH29" s="115">
        <f t="shared" si="14"/>
        <v>8.5500000000000007</v>
      </c>
      <c r="AI29" s="115"/>
      <c r="AJ29" s="115">
        <f t="shared" si="15"/>
        <v>0</v>
      </c>
      <c r="AK29" s="115"/>
      <c r="AL29" s="142"/>
      <c r="AM29" s="153"/>
      <c r="AN29" s="153"/>
      <c r="AO29" s="153"/>
      <c r="AP29" s="153"/>
      <c r="AQ29" s="153"/>
      <c r="AR29" s="153"/>
      <c r="AS29" s="153"/>
      <c r="AT29" s="153"/>
      <c r="AU29" s="153"/>
      <c r="AV29" s="153"/>
      <c r="AW29" s="153"/>
      <c r="AX29" s="153"/>
      <c r="AY29" s="153"/>
      <c r="AZ29" s="153"/>
      <c r="BA29" s="153"/>
      <c r="BB29" s="153"/>
      <c r="BC29" s="153"/>
      <c r="BD29" s="153"/>
      <c r="BE29" s="153"/>
      <c r="BF29" s="153"/>
      <c r="BG29" s="153"/>
      <c r="BS29" s="13">
        <v>2</v>
      </c>
      <c r="BT29" s="123">
        <v>44491</v>
      </c>
      <c r="BU29" s="116" t="s">
        <v>8</v>
      </c>
      <c r="BV29" s="115" t="s">
        <v>482</v>
      </c>
      <c r="BW29" s="116" t="s">
        <v>502</v>
      </c>
      <c r="BX29" s="115">
        <v>18400</v>
      </c>
      <c r="BY29" s="115">
        <v>41.7</v>
      </c>
      <c r="BZ29" s="115">
        <v>47.945</v>
      </c>
      <c r="CA29" s="119">
        <v>-3216.6708800000001</v>
      </c>
      <c r="CB29" s="115">
        <v>1.1497601918465228</v>
      </c>
      <c r="CC29" s="115">
        <v>500</v>
      </c>
      <c r="CD29" s="115">
        <v>50</v>
      </c>
      <c r="CE29" s="119">
        <v>20850</v>
      </c>
    </row>
    <row r="30" spans="1:83" hidden="1">
      <c r="A30" s="13">
        <f t="shared" si="28"/>
        <v>23</v>
      </c>
      <c r="B30" s="123">
        <v>44607</v>
      </c>
      <c r="C30" s="116" t="s">
        <v>6</v>
      </c>
      <c r="D30" s="116">
        <v>1</v>
      </c>
      <c r="E30" s="115" t="s">
        <v>632</v>
      </c>
      <c r="F30" s="116" t="s">
        <v>502</v>
      </c>
      <c r="G30" s="115"/>
      <c r="H30" s="117">
        <v>44651</v>
      </c>
      <c r="I30" s="115">
        <v>50</v>
      </c>
      <c r="J30" s="115">
        <v>17340</v>
      </c>
      <c r="K30" s="115">
        <v>17320</v>
      </c>
      <c r="L30" s="119">
        <f t="shared" ca="1" si="16"/>
        <v>0</v>
      </c>
      <c r="M30" s="119">
        <f t="shared" si="17"/>
        <v>-1000</v>
      </c>
      <c r="N30" s="115">
        <f t="shared" ref="N30:N33" si="73">K30/$J30</f>
        <v>0.99884659746251436</v>
      </c>
      <c r="O30" s="156">
        <f t="shared" ref="O30:O33" si="74">J30*(1+$O$6*IF(C30="B",-1,1))</f>
        <v>13005</v>
      </c>
      <c r="P30" s="160">
        <f t="shared" si="20"/>
        <v>867000</v>
      </c>
      <c r="Q30" s="160" t="e">
        <f t="shared" ref="Q30:Q33" si="75">(W30-J30)*I30*IF(C30="B",1,-1)*IF(K30=0,1,0)</f>
        <v>#N/A</v>
      </c>
      <c r="R30" s="153" t="e">
        <f t="shared" ca="1" si="22"/>
        <v>#VALUE!</v>
      </c>
      <c r="S30" s="119">
        <f t="shared" ref="S30:S33" si="76">(1-$S$6)*J30</f>
        <v>1733.9999999999995</v>
      </c>
      <c r="T30" s="115" t="str">
        <f>VLOOKUP(TRIM($F30),Reference!B:C,2,0)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0" s="170">
        <f t="shared" ref="U30:U33" ca="1" si="77">AC30</f>
        <v>0</v>
      </c>
      <c r="V30" s="120" t="str">
        <f t="shared" si="6"/>
        <v>NIFTY22MARFUT</v>
      </c>
      <c r="W30" s="158" t="e">
        <f>VLOOKUP($V30,Reference!BA:BD,4,0)</f>
        <v>#N/A</v>
      </c>
      <c r="X30" s="160">
        <f t="shared" ca="1" si="7"/>
        <v>0</v>
      </c>
      <c r="Y30" s="160">
        <f t="shared" ca="1" si="8"/>
        <v>0</v>
      </c>
      <c r="Z30" s="160">
        <f t="shared" ca="1" si="25"/>
        <v>0</v>
      </c>
      <c r="AA30" s="160">
        <f t="shared" ca="1" si="9"/>
        <v>0</v>
      </c>
      <c r="AB30" s="160">
        <f t="shared" ca="1" si="10"/>
        <v>0</v>
      </c>
      <c r="AC30" s="119">
        <f t="shared" ca="1" si="11"/>
        <v>0</v>
      </c>
      <c r="AD30" s="115">
        <f t="shared" ref="AD30:AD33" ca="1" si="78">(H30-TODAY())/365</f>
        <v>-1.4602739726027398</v>
      </c>
      <c r="AE30" s="115">
        <f t="shared" ref="AE30:AE33" si="79">IF(I30&lt;&gt;0,20,0)</f>
        <v>20</v>
      </c>
      <c r="AF30" s="115"/>
      <c r="AG30" s="115"/>
      <c r="AH30" s="115">
        <f t="shared" si="14"/>
        <v>0</v>
      </c>
      <c r="AI30" s="115"/>
      <c r="AJ30" s="115">
        <f t="shared" si="15"/>
        <v>26.01</v>
      </c>
      <c r="AK30" s="115"/>
      <c r="AL30" s="142"/>
      <c r="AM30" s="153"/>
      <c r="AN30" s="153"/>
      <c r="AO30" s="153"/>
      <c r="AP30" s="153"/>
      <c r="AQ30" s="153"/>
      <c r="AR30" s="153"/>
      <c r="AS30" s="153"/>
      <c r="AT30" s="153"/>
      <c r="AU30" s="153"/>
      <c r="AV30" s="153"/>
      <c r="AW30" s="153"/>
      <c r="AX30" s="153"/>
      <c r="AY30" s="153"/>
      <c r="AZ30" s="153"/>
      <c r="BA30" s="153"/>
      <c r="BB30" s="153"/>
      <c r="BC30" s="153"/>
      <c r="BD30" s="153"/>
      <c r="BE30" s="153"/>
      <c r="BF30" s="153"/>
      <c r="BG30" s="153"/>
      <c r="BS30" s="13">
        <v>2</v>
      </c>
      <c r="BT30" s="123">
        <v>44491</v>
      </c>
      <c r="BU30" s="116" t="s">
        <v>8</v>
      </c>
      <c r="BV30" s="115" t="s">
        <v>482</v>
      </c>
      <c r="BW30" s="116" t="s">
        <v>502</v>
      </c>
      <c r="BX30" s="115">
        <v>18400</v>
      </c>
      <c r="BY30" s="115">
        <v>41.7</v>
      </c>
      <c r="BZ30" s="115">
        <v>47.945</v>
      </c>
      <c r="CA30" s="119">
        <v>-3216.6708800000001</v>
      </c>
      <c r="CB30" s="115">
        <v>1.1497601918465228</v>
      </c>
      <c r="CC30" s="115">
        <v>500</v>
      </c>
      <c r="CD30" s="115">
        <v>50</v>
      </c>
      <c r="CE30" s="119">
        <v>20850</v>
      </c>
    </row>
    <row r="31" spans="1:83" hidden="1">
      <c r="A31" s="13">
        <f t="shared" si="28"/>
        <v>24</v>
      </c>
      <c r="B31" s="123">
        <v>44607</v>
      </c>
      <c r="C31" s="116" t="s">
        <v>6</v>
      </c>
      <c r="D31" s="116">
        <v>1</v>
      </c>
      <c r="E31" s="115" t="s">
        <v>632</v>
      </c>
      <c r="F31" s="116" t="s">
        <v>502</v>
      </c>
      <c r="G31" s="115"/>
      <c r="H31" s="117">
        <v>44651</v>
      </c>
      <c r="I31" s="115">
        <v>50</v>
      </c>
      <c r="J31" s="115">
        <v>17405</v>
      </c>
      <c r="K31" s="115">
        <v>17320</v>
      </c>
      <c r="L31" s="119">
        <f t="shared" ca="1" si="16"/>
        <v>0</v>
      </c>
      <c r="M31" s="119">
        <f t="shared" si="17"/>
        <v>-4250</v>
      </c>
      <c r="N31" s="115">
        <f t="shared" si="73"/>
        <v>0.99511634587762132</v>
      </c>
      <c r="O31" s="156">
        <f t="shared" si="74"/>
        <v>13053.75</v>
      </c>
      <c r="P31" s="160">
        <f t="shared" si="20"/>
        <v>870250</v>
      </c>
      <c r="Q31" s="160" t="e">
        <f t="shared" si="75"/>
        <v>#N/A</v>
      </c>
      <c r="R31" s="153" t="e">
        <f t="shared" ca="1" si="22"/>
        <v>#VALUE!</v>
      </c>
      <c r="S31" s="119">
        <f t="shared" si="76"/>
        <v>1740.4999999999995</v>
      </c>
      <c r="T31" s="115" t="str">
        <f>VLOOKUP(TRIM($F31),Reference!B:C,2,0)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1" s="170">
        <f t="shared" ca="1" si="77"/>
        <v>0</v>
      </c>
      <c r="V31" s="120" t="str">
        <f t="shared" si="6"/>
        <v>NIFTY22MARFUT</v>
      </c>
      <c r="W31" s="158" t="e">
        <f>VLOOKUP($V31,Reference!BA:BD,4,0)</f>
        <v>#N/A</v>
      </c>
      <c r="X31" s="160">
        <f t="shared" ca="1" si="7"/>
        <v>0</v>
      </c>
      <c r="Y31" s="160">
        <f t="shared" ca="1" si="8"/>
        <v>0</v>
      </c>
      <c r="Z31" s="160">
        <f t="shared" ca="1" si="25"/>
        <v>0</v>
      </c>
      <c r="AA31" s="160">
        <f t="shared" ca="1" si="9"/>
        <v>0</v>
      </c>
      <c r="AB31" s="160">
        <f t="shared" ca="1" si="10"/>
        <v>0</v>
      </c>
      <c r="AC31" s="119">
        <f t="shared" ca="1" si="11"/>
        <v>0</v>
      </c>
      <c r="AD31" s="115">
        <f t="shared" ca="1" si="78"/>
        <v>-1.4602739726027398</v>
      </c>
      <c r="AE31" s="115">
        <f t="shared" si="79"/>
        <v>20</v>
      </c>
      <c r="AF31" s="115"/>
      <c r="AG31" s="115"/>
      <c r="AH31" s="115">
        <f t="shared" si="14"/>
        <v>0</v>
      </c>
      <c r="AI31" s="115"/>
      <c r="AJ31" s="115">
        <f t="shared" si="15"/>
        <v>26.107500000000002</v>
      </c>
      <c r="AK31" s="115"/>
      <c r="AL31" s="142"/>
      <c r="AM31" s="153"/>
      <c r="AN31" s="153"/>
      <c r="AO31" s="153"/>
      <c r="AP31" s="153"/>
      <c r="AQ31" s="153"/>
      <c r="AR31" s="153"/>
      <c r="AS31" s="153"/>
      <c r="AT31" s="153"/>
      <c r="AU31" s="153"/>
      <c r="AV31" s="153"/>
      <c r="AW31" s="153"/>
      <c r="AX31" s="153"/>
      <c r="AY31" s="153"/>
      <c r="AZ31" s="153"/>
      <c r="BA31" s="153"/>
      <c r="BB31" s="153"/>
      <c r="BC31" s="153"/>
      <c r="BD31" s="153"/>
      <c r="BE31" s="153"/>
      <c r="BF31" s="153"/>
      <c r="BG31" s="153"/>
      <c r="BS31" s="13">
        <v>2</v>
      </c>
      <c r="BT31" s="123">
        <v>44491</v>
      </c>
      <c r="BU31" s="116" t="s">
        <v>8</v>
      </c>
      <c r="BV31" s="115" t="s">
        <v>482</v>
      </c>
      <c r="BW31" s="116" t="s">
        <v>502</v>
      </c>
      <c r="BX31" s="115">
        <v>18400</v>
      </c>
      <c r="BY31" s="115">
        <v>41.7</v>
      </c>
      <c r="BZ31" s="115">
        <v>47.945</v>
      </c>
      <c r="CA31" s="119">
        <v>-3216.6708800000001</v>
      </c>
      <c r="CB31" s="115">
        <v>1.1497601918465228</v>
      </c>
      <c r="CC31" s="115">
        <v>500</v>
      </c>
      <c r="CD31" s="115">
        <v>50</v>
      </c>
      <c r="CE31" s="119">
        <v>20850</v>
      </c>
    </row>
    <row r="32" spans="1:83" hidden="1">
      <c r="A32" s="13">
        <f t="shared" si="28"/>
        <v>25</v>
      </c>
      <c r="B32" s="123">
        <v>44607</v>
      </c>
      <c r="C32" s="116" t="s">
        <v>8</v>
      </c>
      <c r="D32" s="116">
        <v>1</v>
      </c>
      <c r="E32" s="115" t="s">
        <v>482</v>
      </c>
      <c r="F32" s="116" t="s">
        <v>284</v>
      </c>
      <c r="G32" s="115">
        <v>450</v>
      </c>
      <c r="H32" s="117">
        <v>44651</v>
      </c>
      <c r="I32" s="115">
        <v>2850</v>
      </c>
      <c r="J32" s="115">
        <v>7.1</v>
      </c>
      <c r="K32" s="115">
        <v>62.45</v>
      </c>
      <c r="L32" s="119">
        <f t="shared" ca="1" si="16"/>
        <v>0</v>
      </c>
      <c r="M32" s="119">
        <f t="shared" si="17"/>
        <v>-157747.5</v>
      </c>
      <c r="N32" s="115">
        <f t="shared" si="73"/>
        <v>8.795774647887324</v>
      </c>
      <c r="O32" s="156">
        <f t="shared" si="74"/>
        <v>8.875</v>
      </c>
      <c r="P32" s="160">
        <f t="shared" si="20"/>
        <v>20235</v>
      </c>
      <c r="Q32" s="160" t="e">
        <f t="shared" si="75"/>
        <v>#N/A</v>
      </c>
      <c r="R32" s="153" t="e">
        <f t="shared" ca="1" si="22"/>
        <v>#VALUE!</v>
      </c>
      <c r="S32" s="119">
        <f t="shared" si="76"/>
        <v>0.70999999999999985</v>
      </c>
      <c r="T32" s="115" t="e">
        <f>VLOOKUP(TRIM($F32),Reference!B:C,2,0)</f>
        <v>#VALUE!</v>
      </c>
      <c r="U32" s="170">
        <f t="shared" ca="1" si="77"/>
        <v>0</v>
      </c>
      <c r="V32" s="120" t="str">
        <f t="shared" si="6"/>
        <v>TATAMOTORS22MAR450PE</v>
      </c>
      <c r="W32" s="158" t="e">
        <f>VLOOKUP($V32,Reference!BA:BD,4,0)</f>
        <v>#N/A</v>
      </c>
      <c r="X32" s="160">
        <f t="shared" ca="1" si="7"/>
        <v>0</v>
      </c>
      <c r="Y32" s="160">
        <f t="shared" ca="1" si="8"/>
        <v>0</v>
      </c>
      <c r="Z32" s="160">
        <f t="shared" ca="1" si="25"/>
        <v>0</v>
      </c>
      <c r="AA32" s="160">
        <f t="shared" ca="1" si="9"/>
        <v>0</v>
      </c>
      <c r="AB32" s="160">
        <f t="shared" ca="1" si="10"/>
        <v>0</v>
      </c>
      <c r="AC32" s="119">
        <f t="shared" ca="1" si="11"/>
        <v>0</v>
      </c>
      <c r="AD32" s="115">
        <f t="shared" ca="1" si="78"/>
        <v>-1.4602739726027398</v>
      </c>
      <c r="AE32" s="115">
        <f t="shared" si="79"/>
        <v>20</v>
      </c>
      <c r="AF32" s="115"/>
      <c r="AG32" s="115"/>
      <c r="AH32" s="115">
        <f t="shared" si="14"/>
        <v>10.1175</v>
      </c>
      <c r="AI32" s="115"/>
      <c r="AJ32" s="115">
        <f t="shared" si="15"/>
        <v>0</v>
      </c>
      <c r="AK32" s="115"/>
      <c r="AL32" s="142"/>
      <c r="AM32" s="153"/>
      <c r="AN32" s="153"/>
      <c r="AO32" s="153"/>
      <c r="AP32" s="153"/>
      <c r="AQ32" s="153"/>
      <c r="AR32" s="153"/>
      <c r="AS32" s="153"/>
      <c r="AT32" s="153"/>
      <c r="AU32" s="153"/>
      <c r="AV32" s="153"/>
      <c r="AW32" s="153"/>
      <c r="AX32" s="153"/>
      <c r="AY32" s="153"/>
      <c r="AZ32" s="153"/>
      <c r="BA32" s="153"/>
      <c r="BB32" s="153"/>
      <c r="BC32" s="153"/>
      <c r="BD32" s="153"/>
      <c r="BE32" s="153"/>
      <c r="BF32" s="153"/>
      <c r="BG32" s="153"/>
      <c r="BS32" s="13">
        <v>2</v>
      </c>
      <c r="BT32" s="123">
        <v>44491</v>
      </c>
      <c r="BU32" s="116" t="s">
        <v>8</v>
      </c>
      <c r="BV32" s="115" t="s">
        <v>482</v>
      </c>
      <c r="BW32" s="116" t="s">
        <v>502</v>
      </c>
      <c r="BX32" s="115">
        <v>18400</v>
      </c>
      <c r="BY32" s="115">
        <v>41.7</v>
      </c>
      <c r="BZ32" s="115">
        <v>47.945</v>
      </c>
      <c r="CA32" s="119">
        <v>-3216.6708800000001</v>
      </c>
      <c r="CB32" s="115">
        <v>1.1497601918465228</v>
      </c>
      <c r="CC32" s="115">
        <v>500</v>
      </c>
      <c r="CD32" s="115">
        <v>50</v>
      </c>
      <c r="CE32" s="119">
        <v>20850</v>
      </c>
    </row>
    <row r="33" spans="1:83" hidden="1">
      <c r="A33" s="13">
        <f t="shared" si="28"/>
        <v>26</v>
      </c>
      <c r="B33" s="123">
        <v>44608</v>
      </c>
      <c r="C33" s="116" t="s">
        <v>6</v>
      </c>
      <c r="D33" s="116">
        <v>1</v>
      </c>
      <c r="E33" s="115" t="s">
        <v>632</v>
      </c>
      <c r="F33" s="116" t="s">
        <v>130</v>
      </c>
      <c r="G33" s="115"/>
      <c r="H33" s="117">
        <v>44651</v>
      </c>
      <c r="I33" s="115">
        <v>6750</v>
      </c>
      <c r="J33" s="115">
        <v>234.5</v>
      </c>
      <c r="K33" s="115">
        <v>226.5</v>
      </c>
      <c r="L33" s="119">
        <f t="shared" ca="1" si="16"/>
        <v>0</v>
      </c>
      <c r="M33" s="119">
        <f t="shared" si="17"/>
        <v>-54000</v>
      </c>
      <c r="N33" s="115">
        <f t="shared" si="73"/>
        <v>0.9658848614072495</v>
      </c>
      <c r="O33" s="156">
        <f t="shared" si="74"/>
        <v>175.875</v>
      </c>
      <c r="P33" s="160">
        <f t="shared" si="20"/>
        <v>1582875</v>
      </c>
      <c r="Q33" s="160" t="e">
        <f t="shared" si="75"/>
        <v>#N/A</v>
      </c>
      <c r="R33" s="153" t="e">
        <f t="shared" ca="1" si="22"/>
        <v>#VALUE!</v>
      </c>
      <c r="S33" s="119">
        <f t="shared" si="76"/>
        <v>23.449999999999996</v>
      </c>
      <c r="T33" s="115" t="e">
        <f>VLOOKUP(TRIM($F33),Reference!B:C,2,0)</f>
        <v>#VALUE!</v>
      </c>
      <c r="U33" s="170">
        <f t="shared" ca="1" si="77"/>
        <v>0</v>
      </c>
      <c r="V33" s="120" t="str">
        <f t="shared" si="6"/>
        <v>TATAPOWER22MARFUT</v>
      </c>
      <c r="W33" s="158" t="e">
        <f>VLOOKUP($V33,Reference!BA:BD,4,0)</f>
        <v>#N/A</v>
      </c>
      <c r="X33" s="160">
        <f t="shared" ca="1" si="7"/>
        <v>0</v>
      </c>
      <c r="Y33" s="160">
        <f t="shared" ca="1" si="8"/>
        <v>0</v>
      </c>
      <c r="Z33" s="160">
        <f t="shared" ca="1" si="25"/>
        <v>0</v>
      </c>
      <c r="AA33" s="160">
        <f t="shared" ca="1" si="9"/>
        <v>0</v>
      </c>
      <c r="AB33" s="160">
        <f t="shared" ca="1" si="10"/>
        <v>0</v>
      </c>
      <c r="AC33" s="119">
        <f t="shared" ca="1" si="11"/>
        <v>0</v>
      </c>
      <c r="AD33" s="115">
        <f t="shared" ca="1" si="78"/>
        <v>-1.4602739726027398</v>
      </c>
      <c r="AE33" s="115">
        <f t="shared" si="79"/>
        <v>20</v>
      </c>
      <c r="AF33" s="115"/>
      <c r="AG33" s="115"/>
      <c r="AH33" s="115">
        <f t="shared" si="14"/>
        <v>0</v>
      </c>
      <c r="AI33" s="115"/>
      <c r="AJ33" s="115">
        <f t="shared" si="15"/>
        <v>47.486249999999998</v>
      </c>
      <c r="AK33" s="115"/>
      <c r="AL33" s="142"/>
      <c r="AM33" s="153"/>
      <c r="AN33" s="153"/>
      <c r="AO33" s="153"/>
      <c r="AP33" s="153"/>
      <c r="AQ33" s="153"/>
      <c r="AR33" s="153"/>
      <c r="AS33" s="153"/>
      <c r="AT33" s="153"/>
      <c r="AU33" s="153"/>
      <c r="AV33" s="153"/>
      <c r="AW33" s="153"/>
      <c r="AX33" s="153"/>
      <c r="AY33" s="153"/>
      <c r="AZ33" s="153"/>
      <c r="BA33" s="153"/>
      <c r="BB33" s="153"/>
      <c r="BC33" s="153"/>
      <c r="BD33" s="153"/>
      <c r="BE33" s="153"/>
      <c r="BF33" s="153"/>
      <c r="BG33" s="153"/>
      <c r="BS33" s="13">
        <v>2</v>
      </c>
      <c r="BT33" s="123">
        <v>44491</v>
      </c>
      <c r="BU33" s="116" t="s">
        <v>8</v>
      </c>
      <c r="BV33" s="115" t="s">
        <v>482</v>
      </c>
      <c r="BW33" s="116" t="s">
        <v>502</v>
      </c>
      <c r="BX33" s="115">
        <v>18400</v>
      </c>
      <c r="BY33" s="115">
        <v>41.7</v>
      </c>
      <c r="BZ33" s="115">
        <v>47.945</v>
      </c>
      <c r="CA33" s="119">
        <v>-3216.6708800000001</v>
      </c>
      <c r="CB33" s="115">
        <v>1.1497601918465228</v>
      </c>
      <c r="CC33" s="115">
        <v>500</v>
      </c>
      <c r="CD33" s="115">
        <v>50</v>
      </c>
      <c r="CE33" s="119">
        <v>20850</v>
      </c>
    </row>
    <row r="34" spans="1:83" hidden="1">
      <c r="A34" s="13">
        <f t="shared" si="28"/>
        <v>27</v>
      </c>
      <c r="B34" s="123">
        <v>44608</v>
      </c>
      <c r="C34" s="116" t="s">
        <v>6</v>
      </c>
      <c r="D34" s="116">
        <v>1</v>
      </c>
      <c r="E34" s="115" t="s">
        <v>632</v>
      </c>
      <c r="F34" s="116" t="s">
        <v>502</v>
      </c>
      <c r="G34" s="115"/>
      <c r="H34" s="117">
        <v>44651</v>
      </c>
      <c r="I34" s="115">
        <v>50</v>
      </c>
      <c r="J34" s="115">
        <v>17441</v>
      </c>
      <c r="K34" s="115">
        <v>17442.650000000001</v>
      </c>
      <c r="L34" s="119">
        <f t="shared" ca="1" si="16"/>
        <v>0</v>
      </c>
      <c r="M34" s="119">
        <f t="shared" si="17"/>
        <v>82.50000000007276</v>
      </c>
      <c r="N34" s="115">
        <f t="shared" ref="N34:N36" si="80">K34/$J34</f>
        <v>1.0000946046671637</v>
      </c>
      <c r="O34" s="156">
        <f t="shared" ref="O34:O36" si="81">J34*(1+$O$6*IF(C34="B",-1,1))</f>
        <v>13080.75</v>
      </c>
      <c r="P34" s="160">
        <f t="shared" si="20"/>
        <v>872050</v>
      </c>
      <c r="Q34" s="160" t="e">
        <f t="shared" ref="Q34:Q36" si="82">(W34-J34)*I34*IF(C34="B",1,-1)*IF(K34=0,1,0)</f>
        <v>#N/A</v>
      </c>
      <c r="R34" s="153" t="e">
        <f t="shared" ca="1" si="22"/>
        <v>#VALUE!</v>
      </c>
      <c r="S34" s="119">
        <f t="shared" ref="S34:S36" si="83">(1-$S$6)*J34</f>
        <v>1744.0999999999997</v>
      </c>
      <c r="T34" s="115" t="str">
        <f>VLOOKUP(TRIM($F34),Reference!B:C,2,0)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4" s="170">
        <f t="shared" ref="U34:U36" ca="1" si="84">AC34</f>
        <v>0</v>
      </c>
      <c r="V34" s="120" t="str">
        <f t="shared" si="6"/>
        <v>NIFTY22MARFUT</v>
      </c>
      <c r="W34" s="158" t="e">
        <f>VLOOKUP($V34,Reference!BA:BD,4,0)</f>
        <v>#N/A</v>
      </c>
      <c r="X34" s="160">
        <f t="shared" ca="1" si="7"/>
        <v>0</v>
      </c>
      <c r="Y34" s="160">
        <f t="shared" ca="1" si="8"/>
        <v>0</v>
      </c>
      <c r="Z34" s="160">
        <f t="shared" ca="1" si="25"/>
        <v>0</v>
      </c>
      <c r="AA34" s="160">
        <f t="shared" ca="1" si="9"/>
        <v>0</v>
      </c>
      <c r="AB34" s="160">
        <f t="shared" ca="1" si="10"/>
        <v>0</v>
      </c>
      <c r="AC34" s="119">
        <f t="shared" ca="1" si="11"/>
        <v>0</v>
      </c>
      <c r="AD34" s="115">
        <f t="shared" ref="AD34:AD36" ca="1" si="85">(H34-TODAY())/365</f>
        <v>-1.4602739726027398</v>
      </c>
      <c r="AE34" s="115">
        <f t="shared" ref="AE34:AE36" si="86">IF(I34&lt;&gt;0,20,0)</f>
        <v>20</v>
      </c>
      <c r="AF34" s="115"/>
      <c r="AG34" s="115"/>
      <c r="AH34" s="115">
        <f t="shared" si="14"/>
        <v>0</v>
      </c>
      <c r="AI34" s="115"/>
      <c r="AJ34" s="115">
        <f t="shared" si="15"/>
        <v>26.1615</v>
      </c>
      <c r="AK34" s="115"/>
      <c r="AL34" s="142"/>
      <c r="AM34" s="153"/>
      <c r="AN34" s="153"/>
      <c r="AO34" s="153"/>
      <c r="AP34" s="153"/>
      <c r="AQ34" s="153"/>
      <c r="AR34" s="153"/>
      <c r="AS34" s="153"/>
      <c r="AT34" s="153"/>
      <c r="AU34" s="153"/>
      <c r="AV34" s="153"/>
      <c r="AW34" s="153"/>
      <c r="AX34" s="153"/>
      <c r="AY34" s="153"/>
      <c r="AZ34" s="153"/>
      <c r="BA34" s="153"/>
      <c r="BB34" s="153"/>
      <c r="BC34" s="153"/>
      <c r="BD34" s="153"/>
      <c r="BE34" s="153"/>
      <c r="BF34" s="153"/>
      <c r="BG34" s="153"/>
      <c r="BS34" s="13">
        <v>2</v>
      </c>
      <c r="BT34" s="123">
        <v>44491</v>
      </c>
      <c r="BU34" s="116" t="s">
        <v>8</v>
      </c>
      <c r="BV34" s="115" t="s">
        <v>482</v>
      </c>
      <c r="BW34" s="116" t="s">
        <v>502</v>
      </c>
      <c r="BX34" s="115">
        <v>18400</v>
      </c>
      <c r="BY34" s="115">
        <v>41.7</v>
      </c>
      <c r="BZ34" s="115">
        <v>47.945</v>
      </c>
      <c r="CA34" s="119">
        <v>-3216.6708800000001</v>
      </c>
      <c r="CB34" s="115">
        <v>1.1497601918465228</v>
      </c>
      <c r="CC34" s="115">
        <v>500</v>
      </c>
      <c r="CD34" s="115">
        <v>50</v>
      </c>
      <c r="CE34" s="119">
        <v>20850</v>
      </c>
    </row>
    <row r="35" spans="1:83" hidden="1">
      <c r="A35" s="13">
        <f t="shared" si="28"/>
        <v>28</v>
      </c>
      <c r="B35" s="123">
        <v>44613</v>
      </c>
      <c r="C35" s="116" t="s">
        <v>8</v>
      </c>
      <c r="D35" s="116">
        <v>1</v>
      </c>
      <c r="E35" s="115" t="s">
        <v>481</v>
      </c>
      <c r="F35" s="116" t="s">
        <v>126</v>
      </c>
      <c r="G35" s="115">
        <v>250</v>
      </c>
      <c r="H35" s="117">
        <v>44651</v>
      </c>
      <c r="I35" s="115">
        <v>3750</v>
      </c>
      <c r="J35" s="115">
        <v>2.5</v>
      </c>
      <c r="K35" s="115">
        <v>1.5</v>
      </c>
      <c r="L35" s="119">
        <f t="shared" ca="1" si="16"/>
        <v>0</v>
      </c>
      <c r="M35" s="119">
        <f t="shared" si="17"/>
        <v>3750</v>
      </c>
      <c r="N35" s="115">
        <f t="shared" si="80"/>
        <v>0.6</v>
      </c>
      <c r="O35" s="156">
        <f t="shared" si="81"/>
        <v>3.125</v>
      </c>
      <c r="P35" s="160">
        <f t="shared" si="20"/>
        <v>9375</v>
      </c>
      <c r="Q35" s="160" t="e">
        <f t="shared" si="82"/>
        <v>#N/A</v>
      </c>
      <c r="R35" s="153" t="e">
        <f t="shared" ca="1" si="22"/>
        <v>#VALUE!</v>
      </c>
      <c r="S35" s="119">
        <f t="shared" si="83"/>
        <v>0.24999999999999994</v>
      </c>
      <c r="T35" s="115" t="e">
        <f>VLOOKUP(TRIM($F35),Reference!B:C,2,0)</f>
        <v>#VALUE!</v>
      </c>
      <c r="U35" s="170">
        <f t="shared" ca="1" si="84"/>
        <v>0</v>
      </c>
      <c r="V35" s="120" t="str">
        <f t="shared" si="6"/>
        <v>IEX22MAR250CE</v>
      </c>
      <c r="W35" s="158" t="e">
        <f>VLOOKUP($V35,Reference!BA:BD,4,0)</f>
        <v>#N/A</v>
      </c>
      <c r="X35" s="160">
        <f t="shared" ca="1" si="7"/>
        <v>0</v>
      </c>
      <c r="Y35" s="160">
        <f t="shared" ca="1" si="8"/>
        <v>0</v>
      </c>
      <c r="Z35" s="160">
        <f t="shared" ca="1" si="25"/>
        <v>0</v>
      </c>
      <c r="AA35" s="160">
        <f t="shared" ca="1" si="9"/>
        <v>0</v>
      </c>
      <c r="AB35" s="160">
        <f t="shared" ca="1" si="10"/>
        <v>0</v>
      </c>
      <c r="AC35" s="119">
        <f t="shared" ca="1" si="11"/>
        <v>0</v>
      </c>
      <c r="AD35" s="115">
        <f t="shared" ca="1" si="85"/>
        <v>-1.4602739726027398</v>
      </c>
      <c r="AE35" s="115">
        <f t="shared" si="86"/>
        <v>20</v>
      </c>
      <c r="AF35" s="115"/>
      <c r="AG35" s="115"/>
      <c r="AH35" s="115">
        <f t="shared" si="14"/>
        <v>4.6875</v>
      </c>
      <c r="AI35" s="115"/>
      <c r="AJ35" s="115">
        <f t="shared" si="15"/>
        <v>0</v>
      </c>
      <c r="AK35" s="115"/>
      <c r="AL35" s="142"/>
      <c r="AM35" s="153"/>
      <c r="AN35" s="153"/>
      <c r="AO35" s="153"/>
      <c r="AP35" s="153"/>
      <c r="AQ35" s="153"/>
      <c r="AR35" s="153"/>
      <c r="AS35" s="153"/>
      <c r="AT35" s="153"/>
      <c r="AU35" s="153"/>
      <c r="AV35" s="153"/>
      <c r="AW35" s="153"/>
      <c r="AX35" s="153"/>
      <c r="AY35" s="153"/>
      <c r="AZ35" s="153"/>
      <c r="BA35" s="153"/>
      <c r="BB35" s="153"/>
      <c r="BC35" s="153"/>
      <c r="BD35" s="153"/>
      <c r="BE35" s="153"/>
      <c r="BF35" s="153"/>
      <c r="BG35" s="153"/>
      <c r="BS35" s="13">
        <v>2</v>
      </c>
      <c r="BT35" s="123">
        <v>44491</v>
      </c>
      <c r="BU35" s="116" t="s">
        <v>8</v>
      </c>
      <c r="BV35" s="115" t="s">
        <v>482</v>
      </c>
      <c r="BW35" s="116" t="s">
        <v>502</v>
      </c>
      <c r="BX35" s="115">
        <v>18400</v>
      </c>
      <c r="BY35" s="115">
        <v>41.7</v>
      </c>
      <c r="BZ35" s="115">
        <v>47.945</v>
      </c>
      <c r="CA35" s="119">
        <v>-3216.6708800000001</v>
      </c>
      <c r="CB35" s="115">
        <v>1.1497601918465228</v>
      </c>
      <c r="CC35" s="115">
        <v>500</v>
      </c>
      <c r="CD35" s="115">
        <v>50</v>
      </c>
      <c r="CE35" s="119">
        <v>20850</v>
      </c>
    </row>
    <row r="36" spans="1:83" hidden="1">
      <c r="A36" s="13">
        <f t="shared" si="28"/>
        <v>29</v>
      </c>
      <c r="B36" s="123">
        <v>44613</v>
      </c>
      <c r="C36" s="116" t="s">
        <v>8</v>
      </c>
      <c r="D36" s="116">
        <v>1</v>
      </c>
      <c r="E36" s="115" t="s">
        <v>482</v>
      </c>
      <c r="F36" s="116" t="s">
        <v>126</v>
      </c>
      <c r="G36" s="115">
        <v>190</v>
      </c>
      <c r="H36" s="117">
        <v>44651</v>
      </c>
      <c r="I36" s="115">
        <v>3750</v>
      </c>
      <c r="J36" s="115">
        <v>3.85</v>
      </c>
      <c r="K36" s="115">
        <v>3.1</v>
      </c>
      <c r="L36" s="119">
        <f t="shared" ca="1" si="16"/>
        <v>0</v>
      </c>
      <c r="M36" s="119">
        <f t="shared" si="17"/>
        <v>2812.5</v>
      </c>
      <c r="N36" s="115">
        <f t="shared" si="80"/>
        <v>0.80519480519480524</v>
      </c>
      <c r="O36" s="156">
        <f t="shared" si="81"/>
        <v>4.8125</v>
      </c>
      <c r="P36" s="160">
        <f t="shared" si="20"/>
        <v>14437.5</v>
      </c>
      <c r="Q36" s="160" t="e">
        <f t="shared" si="82"/>
        <v>#N/A</v>
      </c>
      <c r="R36" s="153" t="e">
        <f t="shared" ca="1" si="22"/>
        <v>#VALUE!</v>
      </c>
      <c r="S36" s="119">
        <f t="shared" si="83"/>
        <v>0.3849999999999999</v>
      </c>
      <c r="T36" s="115" t="e">
        <f>VLOOKUP(TRIM($F36),Reference!B:C,2,0)</f>
        <v>#VALUE!</v>
      </c>
      <c r="U36" s="170">
        <f t="shared" ca="1" si="84"/>
        <v>0</v>
      </c>
      <c r="V36" s="120" t="str">
        <f t="shared" si="6"/>
        <v>IEX22MAR190PE</v>
      </c>
      <c r="W36" s="158" t="e">
        <f>VLOOKUP($V36,Reference!BA:BD,4,0)</f>
        <v>#N/A</v>
      </c>
      <c r="X36" s="160">
        <f t="shared" ca="1" si="7"/>
        <v>0</v>
      </c>
      <c r="Y36" s="160">
        <f t="shared" ca="1" si="8"/>
        <v>0</v>
      </c>
      <c r="Z36" s="160">
        <f t="shared" ca="1" si="25"/>
        <v>0</v>
      </c>
      <c r="AA36" s="160">
        <f t="shared" ca="1" si="9"/>
        <v>0</v>
      </c>
      <c r="AB36" s="160">
        <f t="shared" ca="1" si="10"/>
        <v>0</v>
      </c>
      <c r="AC36" s="119">
        <f t="shared" ca="1" si="11"/>
        <v>0</v>
      </c>
      <c r="AD36" s="115">
        <f t="shared" ca="1" si="85"/>
        <v>-1.4602739726027398</v>
      </c>
      <c r="AE36" s="115">
        <f t="shared" si="86"/>
        <v>20</v>
      </c>
      <c r="AF36" s="115"/>
      <c r="AG36" s="115"/>
      <c r="AH36" s="115">
        <f t="shared" si="14"/>
        <v>7.21875</v>
      </c>
      <c r="AI36" s="115"/>
      <c r="AJ36" s="115">
        <f t="shared" si="15"/>
        <v>0</v>
      </c>
      <c r="AK36" s="115"/>
      <c r="AL36" s="142"/>
      <c r="AM36" s="153"/>
      <c r="AN36" s="153"/>
      <c r="AO36" s="153"/>
      <c r="AP36" s="153"/>
      <c r="AQ36" s="153"/>
      <c r="AR36" s="153"/>
      <c r="AS36" s="153"/>
      <c r="AT36" s="153"/>
      <c r="AU36" s="153"/>
      <c r="AV36" s="153"/>
      <c r="AW36" s="153"/>
      <c r="AX36" s="153"/>
      <c r="AY36" s="153"/>
      <c r="AZ36" s="153"/>
      <c r="BA36" s="153"/>
      <c r="BB36" s="153"/>
      <c r="BC36" s="153"/>
      <c r="BD36" s="153"/>
      <c r="BE36" s="153"/>
      <c r="BF36" s="153"/>
      <c r="BG36" s="153"/>
      <c r="BS36" s="13">
        <v>2</v>
      </c>
      <c r="BT36" s="123">
        <v>44491</v>
      </c>
      <c r="BU36" s="116" t="s">
        <v>8</v>
      </c>
      <c r="BV36" s="115" t="s">
        <v>482</v>
      </c>
      <c r="BW36" s="116" t="s">
        <v>502</v>
      </c>
      <c r="BX36" s="115">
        <v>18400</v>
      </c>
      <c r="BY36" s="115">
        <v>41.7</v>
      </c>
      <c r="BZ36" s="115">
        <v>47.945</v>
      </c>
      <c r="CA36" s="119">
        <v>-3216.6708800000001</v>
      </c>
      <c r="CB36" s="115">
        <v>1.1497601918465228</v>
      </c>
      <c r="CC36" s="115">
        <v>500</v>
      </c>
      <c r="CD36" s="115">
        <v>50</v>
      </c>
      <c r="CE36" s="119">
        <v>20850</v>
      </c>
    </row>
    <row r="37" spans="1:83" hidden="1">
      <c r="A37" s="13">
        <f t="shared" si="28"/>
        <v>30</v>
      </c>
      <c r="B37" s="123">
        <v>44613</v>
      </c>
      <c r="C37" s="116" t="s">
        <v>8</v>
      </c>
      <c r="D37" s="116">
        <v>1</v>
      </c>
      <c r="E37" s="115" t="s">
        <v>482</v>
      </c>
      <c r="F37" s="116" t="s">
        <v>126</v>
      </c>
      <c r="G37" s="115">
        <v>190</v>
      </c>
      <c r="H37" s="117">
        <v>44651</v>
      </c>
      <c r="I37" s="115">
        <v>3750</v>
      </c>
      <c r="J37" s="115">
        <v>3.5</v>
      </c>
      <c r="K37" s="115">
        <v>4.0999999999999996</v>
      </c>
      <c r="L37" s="119">
        <f t="shared" ca="1" si="16"/>
        <v>0</v>
      </c>
      <c r="M37" s="119">
        <f t="shared" si="17"/>
        <v>-2249.9999999999986</v>
      </c>
      <c r="N37" s="115">
        <f t="shared" ref="N37" si="87">K37/$J37</f>
        <v>1.1714285714285713</v>
      </c>
      <c r="O37" s="156">
        <f t="shared" ref="O37" si="88">J37*(1+$O$6*IF(C37="B",-1,1))</f>
        <v>4.375</v>
      </c>
      <c r="P37" s="160">
        <f t="shared" si="20"/>
        <v>13125</v>
      </c>
      <c r="Q37" s="160" t="e">
        <f t="shared" ref="Q37" si="89">(W37-J37)*I37*IF(C37="B",1,-1)*IF(K37=0,1,0)</f>
        <v>#N/A</v>
      </c>
      <c r="R37" s="153" t="e">
        <f t="shared" ca="1" si="22"/>
        <v>#VALUE!</v>
      </c>
      <c r="S37" s="119">
        <f t="shared" ref="S37" si="90">(1-$S$6)*J37</f>
        <v>0.34999999999999992</v>
      </c>
      <c r="T37" s="115" t="e">
        <f>VLOOKUP(TRIM($F37),Reference!B:C,2,0)</f>
        <v>#VALUE!</v>
      </c>
      <c r="U37" s="170">
        <f t="shared" ref="U37" ca="1" si="91">AC37</f>
        <v>0</v>
      </c>
      <c r="V37" s="120" t="str">
        <f t="shared" si="6"/>
        <v>IEX22MAR190PE</v>
      </c>
      <c r="W37" s="158" t="e">
        <f>VLOOKUP($V37,Reference!BA:BD,4,0)</f>
        <v>#N/A</v>
      </c>
      <c r="X37" s="160">
        <f t="shared" ca="1" si="7"/>
        <v>0</v>
      </c>
      <c r="Y37" s="160">
        <f t="shared" ca="1" si="8"/>
        <v>0</v>
      </c>
      <c r="Z37" s="160">
        <f t="shared" ca="1" si="25"/>
        <v>0</v>
      </c>
      <c r="AA37" s="160">
        <f t="shared" ca="1" si="9"/>
        <v>0</v>
      </c>
      <c r="AB37" s="160">
        <f t="shared" ca="1" si="10"/>
        <v>0</v>
      </c>
      <c r="AC37" s="119">
        <f t="shared" ca="1" si="11"/>
        <v>0</v>
      </c>
      <c r="AD37" s="115">
        <f t="shared" ref="AD37" ca="1" si="92">(H37-TODAY())/365</f>
        <v>-1.4602739726027398</v>
      </c>
      <c r="AE37" s="115">
        <f t="shared" ref="AE37" si="93">IF(I37&lt;&gt;0,20,0)</f>
        <v>20</v>
      </c>
      <c r="AF37" s="115"/>
      <c r="AG37" s="115"/>
      <c r="AH37" s="115">
        <f t="shared" si="14"/>
        <v>6.5625</v>
      </c>
      <c r="AI37" s="115"/>
      <c r="AJ37" s="115">
        <f t="shared" si="15"/>
        <v>0</v>
      </c>
      <c r="AK37" s="115"/>
      <c r="AL37" s="142"/>
      <c r="AM37" s="153"/>
      <c r="AN37" s="153"/>
      <c r="AO37" s="153"/>
      <c r="AP37" s="153"/>
      <c r="AQ37" s="153"/>
      <c r="AR37" s="153"/>
      <c r="AS37" s="153"/>
      <c r="AT37" s="153"/>
      <c r="AU37" s="153"/>
      <c r="AV37" s="153"/>
      <c r="AW37" s="153"/>
      <c r="AX37" s="153"/>
      <c r="AY37" s="153"/>
      <c r="AZ37" s="153"/>
      <c r="BA37" s="153"/>
      <c r="BB37" s="153"/>
      <c r="BC37" s="153"/>
      <c r="BD37" s="153"/>
      <c r="BE37" s="153"/>
      <c r="BF37" s="153"/>
      <c r="BG37" s="153"/>
      <c r="BS37" s="13">
        <v>2</v>
      </c>
      <c r="BT37" s="123">
        <v>44491</v>
      </c>
      <c r="BU37" s="116" t="s">
        <v>8</v>
      </c>
      <c r="BV37" s="115" t="s">
        <v>482</v>
      </c>
      <c r="BW37" s="116" t="s">
        <v>502</v>
      </c>
      <c r="BX37" s="115">
        <v>18400</v>
      </c>
      <c r="BY37" s="115">
        <v>41.7</v>
      </c>
      <c r="BZ37" s="115">
        <v>47.945</v>
      </c>
      <c r="CA37" s="119">
        <v>-3216.6708800000001</v>
      </c>
      <c r="CB37" s="115">
        <v>1.1497601918465228</v>
      </c>
      <c r="CC37" s="115">
        <v>500</v>
      </c>
      <c r="CD37" s="115">
        <v>50</v>
      </c>
      <c r="CE37" s="119">
        <v>20850</v>
      </c>
    </row>
    <row r="38" spans="1:83" hidden="1">
      <c r="A38" s="13">
        <f t="shared" si="28"/>
        <v>31</v>
      </c>
      <c r="B38" s="123">
        <v>44615</v>
      </c>
      <c r="C38" s="116" t="s">
        <v>8</v>
      </c>
      <c r="D38" s="116">
        <v>1</v>
      </c>
      <c r="E38" s="115" t="s">
        <v>481</v>
      </c>
      <c r="F38" s="116" t="s">
        <v>130</v>
      </c>
      <c r="G38" s="115">
        <v>250</v>
      </c>
      <c r="H38" s="117">
        <v>44651</v>
      </c>
      <c r="I38" s="115">
        <v>6750</v>
      </c>
      <c r="J38" s="115">
        <v>2.8</v>
      </c>
      <c r="K38" s="115">
        <v>2</v>
      </c>
      <c r="L38" s="119">
        <f t="shared" ca="1" si="16"/>
        <v>0</v>
      </c>
      <c r="M38" s="119">
        <f t="shared" si="17"/>
        <v>5399.9999999999991</v>
      </c>
      <c r="N38" s="115">
        <f t="shared" ref="N38:N42" si="94">K38/$J38</f>
        <v>0.7142857142857143</v>
      </c>
      <c r="O38" s="156">
        <f t="shared" ref="O38:O42" si="95">J38*(1+$O$6*IF(C38="B",-1,1))</f>
        <v>3.5</v>
      </c>
      <c r="P38" s="160">
        <f t="shared" si="20"/>
        <v>18900</v>
      </c>
      <c r="Q38" s="160" t="e">
        <f t="shared" ref="Q38:Q42" si="96">(W38-J38)*I38*IF(C38="B",1,-1)*IF(K38=0,1,0)</f>
        <v>#N/A</v>
      </c>
      <c r="R38" s="153" t="e">
        <f t="shared" ca="1" si="22"/>
        <v>#VALUE!</v>
      </c>
      <c r="S38" s="119">
        <f t="shared" ref="S38:S42" si="97">(1-$S$6)*J38</f>
        <v>0.27999999999999992</v>
      </c>
      <c r="T38" s="115" t="e">
        <f>VLOOKUP(TRIM($F38),Reference!B:C,2,0)</f>
        <v>#VALUE!</v>
      </c>
      <c r="U38" s="170">
        <f t="shared" ref="U38:U42" ca="1" si="98">AC38</f>
        <v>0</v>
      </c>
      <c r="V38" s="120" t="str">
        <f t="shared" si="6"/>
        <v>TATAPOWER22MAR250CE</v>
      </c>
      <c r="W38" s="158" t="e">
        <f>VLOOKUP($V38,Reference!BA:BD,4,0)</f>
        <v>#N/A</v>
      </c>
      <c r="X38" s="160">
        <f t="shared" ca="1" si="7"/>
        <v>0</v>
      </c>
      <c r="Y38" s="160">
        <f t="shared" ca="1" si="8"/>
        <v>0</v>
      </c>
      <c r="Z38" s="160">
        <f t="shared" ca="1" si="25"/>
        <v>0</v>
      </c>
      <c r="AA38" s="160">
        <f t="shared" ca="1" si="9"/>
        <v>0</v>
      </c>
      <c r="AB38" s="160">
        <f t="shared" ca="1" si="10"/>
        <v>0</v>
      </c>
      <c r="AC38" s="119">
        <f t="shared" ca="1" si="11"/>
        <v>0</v>
      </c>
      <c r="AD38" s="115">
        <f t="shared" ref="AD38:AD42" ca="1" si="99">(H38-TODAY())/365</f>
        <v>-1.4602739726027398</v>
      </c>
      <c r="AE38" s="115">
        <f t="shared" ref="AE38:AE42" si="100">IF(I38&lt;&gt;0,20,0)</f>
        <v>20</v>
      </c>
      <c r="AF38" s="115"/>
      <c r="AG38" s="115"/>
      <c r="AH38" s="115">
        <f t="shared" si="14"/>
        <v>9.4500000000000011</v>
      </c>
      <c r="AI38" s="115"/>
      <c r="AJ38" s="115">
        <f t="shared" si="15"/>
        <v>0</v>
      </c>
      <c r="AK38" s="115"/>
      <c r="AL38" s="142"/>
      <c r="AM38" s="153"/>
      <c r="AN38" s="153"/>
      <c r="AO38" s="153"/>
      <c r="AP38" s="153"/>
      <c r="AQ38" s="153"/>
      <c r="AR38" s="153"/>
      <c r="AS38" s="153"/>
      <c r="AT38" s="153"/>
      <c r="AU38" s="153"/>
      <c r="AV38" s="153"/>
      <c r="AW38" s="153"/>
      <c r="AX38" s="153"/>
      <c r="AY38" s="153"/>
      <c r="AZ38" s="153"/>
      <c r="BA38" s="153"/>
      <c r="BB38" s="153"/>
      <c r="BC38" s="153"/>
      <c r="BD38" s="153"/>
      <c r="BE38" s="153"/>
      <c r="BF38" s="153"/>
      <c r="BG38" s="153"/>
      <c r="BS38" s="13">
        <v>2</v>
      </c>
      <c r="BT38" s="123">
        <v>44491</v>
      </c>
      <c r="BU38" s="116" t="s">
        <v>8</v>
      </c>
      <c r="BV38" s="115" t="s">
        <v>482</v>
      </c>
      <c r="BW38" s="116" t="s">
        <v>502</v>
      </c>
      <c r="BX38" s="115">
        <v>18400</v>
      </c>
      <c r="BY38" s="115">
        <v>41.7</v>
      </c>
      <c r="BZ38" s="115">
        <v>47.945</v>
      </c>
      <c r="CA38" s="119">
        <v>-3216.6708800000001</v>
      </c>
      <c r="CB38" s="115">
        <v>1.1497601918465228</v>
      </c>
      <c r="CC38" s="115">
        <v>500</v>
      </c>
      <c r="CD38" s="115">
        <v>50</v>
      </c>
      <c r="CE38" s="119">
        <v>20850</v>
      </c>
    </row>
    <row r="39" spans="1:83" hidden="1">
      <c r="A39" s="13">
        <f t="shared" si="28"/>
        <v>32</v>
      </c>
      <c r="B39" s="123">
        <v>44615</v>
      </c>
      <c r="C39" s="116" t="s">
        <v>8</v>
      </c>
      <c r="D39" s="116">
        <v>1</v>
      </c>
      <c r="E39" s="115" t="s">
        <v>482</v>
      </c>
      <c r="F39" s="116" t="s">
        <v>506</v>
      </c>
      <c r="G39" s="115">
        <v>32000</v>
      </c>
      <c r="H39" s="117">
        <v>44651</v>
      </c>
      <c r="I39" s="115">
        <v>25</v>
      </c>
      <c r="J39" s="115">
        <v>163.5</v>
      </c>
      <c r="K39" s="115">
        <v>3.3</v>
      </c>
      <c r="L39" s="119">
        <f t="shared" ca="1" si="16"/>
        <v>0</v>
      </c>
      <c r="M39" s="119">
        <f t="shared" si="17"/>
        <v>4004.9999999999995</v>
      </c>
      <c r="N39" s="115">
        <f t="shared" si="94"/>
        <v>2.0183486238532108E-2</v>
      </c>
      <c r="O39" s="156">
        <f t="shared" si="95"/>
        <v>204.375</v>
      </c>
      <c r="P39" s="160">
        <f t="shared" si="20"/>
        <v>4087.5</v>
      </c>
      <c r="Q39" s="160" t="e">
        <f t="shared" si="96"/>
        <v>#N/A</v>
      </c>
      <c r="R39" s="153" t="e">
        <f t="shared" ca="1" si="22"/>
        <v>#VALUE!</v>
      </c>
      <c r="S39" s="119">
        <f t="shared" si="97"/>
        <v>16.349999999999998</v>
      </c>
      <c r="T39" s="115" t="str">
        <f>VLOOKUP(TRIM($F39),Reference!B:C,2,0)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9" s="120">
        <f t="shared" ca="1" si="98"/>
        <v>0</v>
      </c>
      <c r="V39" s="120" t="str">
        <f t="shared" si="6"/>
        <v>BANKNIFTY22MAR32000PE</v>
      </c>
      <c r="W39" s="158" t="e">
        <f>VLOOKUP($V39,Reference!BA:BD,4,0)</f>
        <v>#N/A</v>
      </c>
      <c r="X39" s="160">
        <f t="shared" ca="1" si="7"/>
        <v>0</v>
      </c>
      <c r="Y39" s="160">
        <f t="shared" ca="1" si="8"/>
        <v>0</v>
      </c>
      <c r="Z39" s="160">
        <f t="shared" ca="1" si="25"/>
        <v>0</v>
      </c>
      <c r="AA39" s="160">
        <f t="shared" ca="1" si="9"/>
        <v>0</v>
      </c>
      <c r="AB39" s="160">
        <f t="shared" ca="1" si="10"/>
        <v>0</v>
      </c>
      <c r="AC39" s="119">
        <f t="shared" ca="1" si="11"/>
        <v>0</v>
      </c>
      <c r="AD39" s="115">
        <f t="shared" ca="1" si="99"/>
        <v>-1.4602739726027398</v>
      </c>
      <c r="AE39" s="115">
        <f t="shared" si="100"/>
        <v>20</v>
      </c>
      <c r="AF39" s="115"/>
      <c r="AG39" s="115"/>
      <c r="AH39" s="115">
        <f t="shared" si="14"/>
        <v>2.0437500000000002</v>
      </c>
      <c r="AI39" s="115"/>
      <c r="AJ39" s="115">
        <f t="shared" si="15"/>
        <v>0</v>
      </c>
      <c r="AK39" s="115"/>
      <c r="AM39" s="154"/>
      <c r="AN39" s="154"/>
      <c r="AO39" s="154"/>
      <c r="AP39" s="154"/>
      <c r="AQ39" s="154"/>
      <c r="AR39" s="154"/>
      <c r="AS39" s="154"/>
      <c r="AT39" s="154"/>
      <c r="AU39" s="154"/>
      <c r="AV39" s="154"/>
      <c r="AW39" s="154"/>
      <c r="AX39" s="154"/>
      <c r="AY39" s="154"/>
      <c r="AZ39" s="154"/>
      <c r="BA39" s="154"/>
      <c r="BB39" s="154"/>
      <c r="BC39" s="154"/>
      <c r="BD39" s="154"/>
      <c r="BE39" s="154"/>
      <c r="BF39" s="154"/>
      <c r="BG39" s="154"/>
      <c r="BS39" s="11">
        <v>2</v>
      </c>
      <c r="BT39" s="11">
        <v>44491</v>
      </c>
      <c r="BU39" s="11" t="s">
        <v>8</v>
      </c>
      <c r="BV39" s="11" t="s">
        <v>482</v>
      </c>
      <c r="BW39" s="11" t="s">
        <v>502</v>
      </c>
      <c r="BX39" s="11">
        <v>18400</v>
      </c>
      <c r="BY39" s="11">
        <v>41.7</v>
      </c>
      <c r="BZ39" s="11">
        <v>47.945</v>
      </c>
      <c r="CA39" s="11">
        <v>-3216.6708800000001</v>
      </c>
      <c r="CB39" s="11">
        <v>1.1497601918465228</v>
      </c>
      <c r="CC39" s="11">
        <v>500</v>
      </c>
      <c r="CD39" s="11">
        <v>50</v>
      </c>
      <c r="CE39" s="11">
        <v>20850</v>
      </c>
    </row>
    <row r="40" spans="1:83" hidden="1">
      <c r="A40" s="13">
        <f t="shared" si="28"/>
        <v>33</v>
      </c>
      <c r="B40" s="123">
        <v>44615</v>
      </c>
      <c r="C40" s="116" t="s">
        <v>8</v>
      </c>
      <c r="D40" s="116">
        <v>1</v>
      </c>
      <c r="E40" s="115" t="s">
        <v>482</v>
      </c>
      <c r="F40" s="116" t="s">
        <v>506</v>
      </c>
      <c r="G40" s="115">
        <v>33000</v>
      </c>
      <c r="H40" s="117">
        <v>44651</v>
      </c>
      <c r="I40" s="115">
        <v>25</v>
      </c>
      <c r="J40" s="115">
        <v>235</v>
      </c>
      <c r="K40" s="115">
        <v>1650.6</v>
      </c>
      <c r="L40" s="119">
        <f t="shared" ca="1" si="16"/>
        <v>0</v>
      </c>
      <c r="M40" s="119">
        <f t="shared" si="17"/>
        <v>-35390</v>
      </c>
      <c r="N40" s="115">
        <f t="shared" si="94"/>
        <v>7.0238297872340425</v>
      </c>
      <c r="O40" s="156">
        <f t="shared" si="95"/>
        <v>293.75</v>
      </c>
      <c r="P40" s="160">
        <f t="shared" si="20"/>
        <v>5875</v>
      </c>
      <c r="Q40" s="160" t="e">
        <f t="shared" si="96"/>
        <v>#N/A</v>
      </c>
      <c r="R40" s="153" t="e">
        <f t="shared" ca="1" si="22"/>
        <v>#VALUE!</v>
      </c>
      <c r="S40" s="119">
        <f t="shared" si="97"/>
        <v>23.499999999999996</v>
      </c>
      <c r="T40" s="115" t="str">
        <f>VLOOKUP(TRIM($F40),Reference!B:C,2,0)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0" s="120">
        <f t="shared" ca="1" si="98"/>
        <v>0</v>
      </c>
      <c r="V40" s="120" t="str">
        <f t="shared" si="6"/>
        <v>BANKNIFTY22MAR33000PE</v>
      </c>
      <c r="W40" s="158" t="e">
        <f>VLOOKUP($V40,Reference!BA:BD,4,0)</f>
        <v>#N/A</v>
      </c>
      <c r="X40" s="160">
        <f t="shared" ca="1" si="7"/>
        <v>0</v>
      </c>
      <c r="Y40" s="160">
        <f t="shared" ca="1" si="8"/>
        <v>0</v>
      </c>
      <c r="Z40" s="160">
        <f t="shared" ca="1" si="25"/>
        <v>0</v>
      </c>
      <c r="AA40" s="160">
        <f t="shared" ca="1" si="9"/>
        <v>0</v>
      </c>
      <c r="AB40" s="160">
        <f t="shared" ca="1" si="10"/>
        <v>0</v>
      </c>
      <c r="AC40" s="119">
        <f t="shared" ca="1" si="11"/>
        <v>0</v>
      </c>
      <c r="AD40" s="115">
        <f t="shared" ca="1" si="99"/>
        <v>-1.4602739726027398</v>
      </c>
      <c r="AE40" s="115">
        <f t="shared" si="100"/>
        <v>20</v>
      </c>
      <c r="AF40" s="115"/>
      <c r="AG40" s="115"/>
      <c r="AH40" s="115">
        <f t="shared" si="14"/>
        <v>2.9375</v>
      </c>
      <c r="AI40" s="115"/>
      <c r="AJ40" s="115">
        <f t="shared" si="15"/>
        <v>0</v>
      </c>
      <c r="AK40" s="115"/>
      <c r="AM40" s="154"/>
      <c r="AN40" s="154"/>
      <c r="AO40" s="154"/>
      <c r="AP40" s="154"/>
      <c r="AQ40" s="154"/>
      <c r="AR40" s="154"/>
      <c r="AS40" s="154"/>
      <c r="AT40" s="154"/>
      <c r="AU40" s="154"/>
      <c r="AV40" s="154"/>
      <c r="AW40" s="154"/>
      <c r="AX40" s="154"/>
      <c r="AY40" s="154"/>
      <c r="AZ40" s="154"/>
      <c r="BA40" s="154"/>
      <c r="BB40" s="154"/>
      <c r="BC40" s="154"/>
      <c r="BD40" s="154"/>
      <c r="BE40" s="154"/>
      <c r="BF40" s="154"/>
      <c r="BG40" s="154"/>
      <c r="BS40" s="11">
        <v>2</v>
      </c>
      <c r="BT40" s="11">
        <v>44491</v>
      </c>
      <c r="BU40" s="11" t="s">
        <v>8</v>
      </c>
      <c r="BV40" s="11" t="s">
        <v>482</v>
      </c>
      <c r="BW40" s="11" t="s">
        <v>502</v>
      </c>
      <c r="BX40" s="11">
        <v>18400</v>
      </c>
      <c r="BY40" s="11">
        <v>41.7</v>
      </c>
      <c r="BZ40" s="11">
        <v>47.945</v>
      </c>
      <c r="CA40" s="11">
        <v>-3216.6708800000001</v>
      </c>
      <c r="CB40" s="11">
        <v>1.1497601918465228</v>
      </c>
      <c r="CC40" s="11">
        <v>500</v>
      </c>
      <c r="CD40" s="11">
        <v>50</v>
      </c>
      <c r="CE40" s="11">
        <v>20850</v>
      </c>
    </row>
    <row r="41" spans="1:83" hidden="1">
      <c r="A41" s="13">
        <f t="shared" si="28"/>
        <v>34</v>
      </c>
      <c r="B41" s="123">
        <v>44615</v>
      </c>
      <c r="C41" s="116" t="s">
        <v>8</v>
      </c>
      <c r="D41" s="116">
        <v>1</v>
      </c>
      <c r="E41" s="115" t="s">
        <v>482</v>
      </c>
      <c r="F41" s="116" t="s">
        <v>502</v>
      </c>
      <c r="G41" s="115">
        <v>14000</v>
      </c>
      <c r="H41" s="117">
        <v>44651</v>
      </c>
      <c r="I41" s="115">
        <v>150</v>
      </c>
      <c r="J41" s="115">
        <v>27.92</v>
      </c>
      <c r="K41" s="115">
        <v>1.7</v>
      </c>
      <c r="L41" s="119">
        <f t="shared" ca="1" si="16"/>
        <v>0</v>
      </c>
      <c r="M41" s="119">
        <f t="shared" si="17"/>
        <v>3933.0000000000005</v>
      </c>
      <c r="N41" s="115">
        <f t="shared" si="94"/>
        <v>6.0888252148997131E-2</v>
      </c>
      <c r="O41" s="156">
        <f t="shared" si="95"/>
        <v>34.900000000000006</v>
      </c>
      <c r="P41" s="160">
        <f t="shared" si="20"/>
        <v>4188</v>
      </c>
      <c r="Q41" s="160" t="e">
        <f t="shared" si="96"/>
        <v>#N/A</v>
      </c>
      <c r="R41" s="153" t="e">
        <f t="shared" ca="1" si="22"/>
        <v>#VALUE!</v>
      </c>
      <c r="S41" s="119">
        <f t="shared" si="97"/>
        <v>2.7919999999999994</v>
      </c>
      <c r="T41" s="115" t="str">
        <f>VLOOKUP(TRIM($F41),Reference!B:C,2,0)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1" s="120">
        <f t="shared" ca="1" si="98"/>
        <v>0</v>
      </c>
      <c r="V41" s="120" t="str">
        <f t="shared" si="6"/>
        <v>NIFTY22MAR14000PE</v>
      </c>
      <c r="W41" s="158" t="e">
        <f>VLOOKUP($V41,Reference!BA:BD,4,0)</f>
        <v>#N/A</v>
      </c>
      <c r="X41" s="160">
        <f t="shared" ca="1" si="7"/>
        <v>0</v>
      </c>
      <c r="Y41" s="160">
        <f t="shared" ca="1" si="8"/>
        <v>0</v>
      </c>
      <c r="Z41" s="160">
        <f t="shared" ca="1" si="25"/>
        <v>0</v>
      </c>
      <c r="AA41" s="160">
        <f t="shared" ca="1" si="9"/>
        <v>0</v>
      </c>
      <c r="AB41" s="160">
        <f t="shared" ca="1" si="10"/>
        <v>0</v>
      </c>
      <c r="AC41" s="119">
        <f t="shared" ca="1" si="11"/>
        <v>0</v>
      </c>
      <c r="AD41" s="115">
        <f t="shared" ca="1" si="99"/>
        <v>-1.4602739726027398</v>
      </c>
      <c r="AE41" s="115">
        <f t="shared" si="100"/>
        <v>20</v>
      </c>
      <c r="AF41" s="115"/>
      <c r="AG41" s="115"/>
      <c r="AH41" s="115">
        <f t="shared" si="14"/>
        <v>2.0939999999999999</v>
      </c>
      <c r="AI41" s="115"/>
      <c r="AJ41" s="115">
        <f t="shared" si="15"/>
        <v>0</v>
      </c>
      <c r="AK41" s="115"/>
      <c r="AL41" s="140">
        <v>1</v>
      </c>
      <c r="AM41" s="154"/>
      <c r="AN41" s="154"/>
      <c r="AO41" s="154"/>
      <c r="AP41" s="154"/>
      <c r="AQ41" s="154"/>
      <c r="AR41" s="154"/>
      <c r="AS41" s="154"/>
      <c r="AT41" s="154"/>
      <c r="AU41" s="154"/>
      <c r="AV41" s="154"/>
      <c r="AW41" s="154"/>
      <c r="AX41" s="154"/>
      <c r="AY41" s="154"/>
      <c r="AZ41" s="154"/>
      <c r="BA41" s="154"/>
      <c r="BB41" s="154"/>
      <c r="BC41" s="154"/>
      <c r="BD41" s="154"/>
      <c r="BE41" s="154"/>
      <c r="BF41" s="154"/>
      <c r="BG41" s="154"/>
      <c r="BS41" s="11">
        <v>3</v>
      </c>
      <c r="BT41" s="11">
        <v>44491</v>
      </c>
      <c r="BU41" s="11" t="s">
        <v>8</v>
      </c>
      <c r="BV41" s="11" t="s">
        <v>481</v>
      </c>
      <c r="BW41" s="11" t="s">
        <v>502</v>
      </c>
      <c r="BX41" s="11">
        <v>18700</v>
      </c>
      <c r="BY41" s="11">
        <v>34.75</v>
      </c>
      <c r="BZ41" s="11">
        <v>0.05</v>
      </c>
      <c r="CA41" s="11">
        <v>17263.657599999999</v>
      </c>
      <c r="CB41" s="11">
        <v>1.4388489208633094E-3</v>
      </c>
      <c r="CC41" s="11">
        <v>500</v>
      </c>
      <c r="CD41" s="11">
        <v>50</v>
      </c>
      <c r="CE41" s="11">
        <v>17375</v>
      </c>
    </row>
    <row r="42" spans="1:83" hidden="1">
      <c r="A42" s="13">
        <f t="shared" si="28"/>
        <v>35</v>
      </c>
      <c r="B42" s="123">
        <v>44615</v>
      </c>
      <c r="C42" s="116" t="s">
        <v>8</v>
      </c>
      <c r="D42" s="116">
        <v>1</v>
      </c>
      <c r="E42" s="115" t="s">
        <v>481</v>
      </c>
      <c r="F42" s="116" t="s">
        <v>502</v>
      </c>
      <c r="G42" s="115">
        <v>18500</v>
      </c>
      <c r="H42" s="117">
        <v>44651</v>
      </c>
      <c r="I42" s="115">
        <v>150</v>
      </c>
      <c r="J42" s="115">
        <v>69.55</v>
      </c>
      <c r="K42" s="115">
        <v>10.1</v>
      </c>
      <c r="L42" s="119">
        <f t="shared" ca="1" si="16"/>
        <v>0</v>
      </c>
      <c r="M42" s="119">
        <f t="shared" si="17"/>
        <v>8917.5</v>
      </c>
      <c r="N42" s="115">
        <f t="shared" si="94"/>
        <v>0.14521926671459381</v>
      </c>
      <c r="O42" s="156">
        <f t="shared" si="95"/>
        <v>86.9375</v>
      </c>
      <c r="P42" s="160">
        <f t="shared" si="20"/>
        <v>10432.5</v>
      </c>
      <c r="Q42" s="160" t="e">
        <f t="shared" si="96"/>
        <v>#N/A</v>
      </c>
      <c r="R42" s="153" t="e">
        <f t="shared" ca="1" si="22"/>
        <v>#VALUE!</v>
      </c>
      <c r="S42" s="119">
        <f t="shared" si="97"/>
        <v>6.9549999999999983</v>
      </c>
      <c r="T42" s="115" t="str">
        <f>VLOOKUP(TRIM($F42),Reference!B:C,2,0)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2" s="120">
        <f t="shared" ca="1" si="98"/>
        <v>0</v>
      </c>
      <c r="V42" s="120" t="str">
        <f t="shared" si="6"/>
        <v>NIFTY22MAR18500CE</v>
      </c>
      <c r="W42" s="158" t="e">
        <f>VLOOKUP($V42,Reference!BA:BD,4,0)</f>
        <v>#N/A</v>
      </c>
      <c r="X42" s="160">
        <f t="shared" ca="1" si="7"/>
        <v>0</v>
      </c>
      <c r="Y42" s="160">
        <f t="shared" ca="1" si="8"/>
        <v>0</v>
      </c>
      <c r="Z42" s="160">
        <f t="shared" ca="1" si="25"/>
        <v>0</v>
      </c>
      <c r="AA42" s="160">
        <f t="shared" ca="1" si="9"/>
        <v>0</v>
      </c>
      <c r="AB42" s="160">
        <f t="shared" ca="1" si="10"/>
        <v>0</v>
      </c>
      <c r="AC42" s="119">
        <f t="shared" ca="1" si="11"/>
        <v>0</v>
      </c>
      <c r="AD42" s="115">
        <f t="shared" ca="1" si="99"/>
        <v>-1.4602739726027398</v>
      </c>
      <c r="AE42" s="115">
        <f t="shared" si="100"/>
        <v>20</v>
      </c>
      <c r="AF42" s="115"/>
      <c r="AG42" s="115"/>
      <c r="AH42" s="115">
        <f t="shared" si="14"/>
        <v>5.2162500000000005</v>
      </c>
      <c r="AI42" s="115"/>
      <c r="AJ42" s="115">
        <f t="shared" si="15"/>
        <v>0</v>
      </c>
      <c r="AK42" s="115"/>
      <c r="AL42" s="140">
        <v>1</v>
      </c>
      <c r="AM42" s="154"/>
      <c r="AN42" s="154"/>
      <c r="AO42" s="154"/>
      <c r="AP42" s="154"/>
      <c r="AQ42" s="154"/>
      <c r="AR42" s="154"/>
      <c r="AS42" s="154"/>
      <c r="AT42" s="154"/>
      <c r="AU42" s="154"/>
      <c r="AV42" s="154"/>
      <c r="AW42" s="154"/>
      <c r="AX42" s="154"/>
      <c r="AY42" s="154"/>
      <c r="AZ42" s="154"/>
      <c r="BA42" s="154"/>
      <c r="BB42" s="154"/>
      <c r="BC42" s="154"/>
      <c r="BD42" s="154"/>
      <c r="BE42" s="154"/>
      <c r="BF42" s="154"/>
      <c r="BG42" s="154"/>
      <c r="BS42" s="11">
        <v>3</v>
      </c>
      <c r="BT42" s="11">
        <v>44491</v>
      </c>
      <c r="BU42" s="11" t="s">
        <v>8</v>
      </c>
      <c r="BV42" s="11" t="s">
        <v>481</v>
      </c>
      <c r="BW42" s="11" t="s">
        <v>502</v>
      </c>
      <c r="BX42" s="11">
        <v>18700</v>
      </c>
      <c r="BY42" s="11">
        <v>34.75</v>
      </c>
      <c r="BZ42" s="11">
        <v>0.05</v>
      </c>
      <c r="CA42" s="11">
        <v>17263.657599999999</v>
      </c>
      <c r="CB42" s="11">
        <v>1.4388489208633094E-3</v>
      </c>
      <c r="CC42" s="11">
        <v>500</v>
      </c>
      <c r="CD42" s="11">
        <v>50</v>
      </c>
      <c r="CE42" s="11">
        <v>17375</v>
      </c>
    </row>
    <row r="43" spans="1:83" hidden="1">
      <c r="A43" s="13">
        <f t="shared" si="28"/>
        <v>36</v>
      </c>
      <c r="B43" s="123">
        <v>44615</v>
      </c>
      <c r="C43" s="116" t="s">
        <v>8</v>
      </c>
      <c r="D43" s="116">
        <v>1</v>
      </c>
      <c r="E43" s="115" t="s">
        <v>482</v>
      </c>
      <c r="F43" s="116" t="s">
        <v>506</v>
      </c>
      <c r="G43" s="115">
        <v>34000</v>
      </c>
      <c r="H43" s="117">
        <v>44651</v>
      </c>
      <c r="I43" s="115">
        <v>50</v>
      </c>
      <c r="J43" s="115">
        <v>254</v>
      </c>
      <c r="K43" s="115">
        <v>6.3</v>
      </c>
      <c r="L43" s="119">
        <f t="shared" ca="1" si="16"/>
        <v>0</v>
      </c>
      <c r="M43" s="119">
        <f t="shared" si="17"/>
        <v>12385</v>
      </c>
      <c r="N43" s="115">
        <f t="shared" ref="N43:N45" si="101">K43/$J43</f>
        <v>2.4803149606299212E-2</v>
      </c>
      <c r="O43" s="156">
        <f t="shared" ref="O43:O45" si="102">J43*(1+$O$6*IF(C43="B",-1,1))</f>
        <v>317.5</v>
      </c>
      <c r="P43" s="160">
        <f t="shared" si="20"/>
        <v>12700</v>
      </c>
      <c r="Q43" s="160" t="e">
        <f t="shared" ref="Q43:Q44" si="103">(W43-J43)*I43*IF(C43="B",1,-1)*IF(K43=0,1,0)</f>
        <v>#N/A</v>
      </c>
      <c r="R43" s="153" t="e">
        <f t="shared" ca="1" si="22"/>
        <v>#VALUE!</v>
      </c>
      <c r="S43" s="119">
        <f t="shared" ref="S43:S45" si="104">(1-$S$6)*J43</f>
        <v>25.399999999999995</v>
      </c>
      <c r="T43" s="115" t="str">
        <f>VLOOKUP(TRIM($F43),Reference!B:C,2,0)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3" s="120">
        <f t="shared" ref="U43:U45" ca="1" si="105">AC43</f>
        <v>0</v>
      </c>
      <c r="V43" s="120" t="str">
        <f t="shared" si="6"/>
        <v>BANKNIFTY22MAR34000PE</v>
      </c>
      <c r="W43" s="158" t="e">
        <f>VLOOKUP($V43,Reference!BA:BD,4,0)</f>
        <v>#N/A</v>
      </c>
      <c r="X43" s="160">
        <f t="shared" ca="1" si="7"/>
        <v>0</v>
      </c>
      <c r="Y43" s="160">
        <f t="shared" ca="1" si="8"/>
        <v>0</v>
      </c>
      <c r="Z43" s="160">
        <f t="shared" ca="1" si="25"/>
        <v>0</v>
      </c>
      <c r="AA43" s="160">
        <f t="shared" ca="1" si="9"/>
        <v>0</v>
      </c>
      <c r="AB43" s="160">
        <f t="shared" ca="1" si="10"/>
        <v>0</v>
      </c>
      <c r="AC43" s="119">
        <f t="shared" ca="1" si="11"/>
        <v>0</v>
      </c>
      <c r="AD43" s="115">
        <f t="shared" ref="AD43:AD45" ca="1" si="106">(H43-TODAY())/365</f>
        <v>-1.4602739726027398</v>
      </c>
      <c r="AE43" s="115">
        <f t="shared" ref="AE43:AE45" si="107">IF(I43&lt;&gt;0,20,0)</f>
        <v>20</v>
      </c>
      <c r="AF43" s="115"/>
      <c r="AG43" s="115"/>
      <c r="AH43" s="115">
        <f t="shared" si="14"/>
        <v>6.3500000000000005</v>
      </c>
      <c r="AI43" s="115"/>
      <c r="AJ43" s="115">
        <f t="shared" si="15"/>
        <v>0</v>
      </c>
      <c r="AK43" s="115"/>
      <c r="AM43" s="154"/>
      <c r="AN43" s="154"/>
      <c r="AO43" s="154"/>
      <c r="AP43" s="154"/>
      <c r="AQ43" s="154"/>
      <c r="AR43" s="154"/>
      <c r="AS43" s="154"/>
      <c r="AT43" s="154"/>
      <c r="AU43" s="154"/>
      <c r="AV43" s="154"/>
      <c r="AW43" s="154"/>
      <c r="AX43" s="154"/>
      <c r="AY43" s="154"/>
      <c r="AZ43" s="154"/>
      <c r="BA43" s="154"/>
      <c r="BB43" s="154"/>
      <c r="BC43" s="154"/>
      <c r="BD43" s="154"/>
      <c r="BE43" s="154"/>
      <c r="BF43" s="154"/>
      <c r="BG43" s="154"/>
      <c r="BS43" s="11">
        <v>2</v>
      </c>
      <c r="BT43" s="11">
        <v>44491</v>
      </c>
      <c r="BU43" s="11" t="s">
        <v>8</v>
      </c>
      <c r="BV43" s="11" t="s">
        <v>482</v>
      </c>
      <c r="BW43" s="11" t="s">
        <v>502</v>
      </c>
      <c r="BX43" s="11">
        <v>18400</v>
      </c>
      <c r="BY43" s="11">
        <v>41.7</v>
      </c>
      <c r="BZ43" s="11">
        <v>47.945</v>
      </c>
      <c r="CA43" s="11">
        <v>-3216.6708800000001</v>
      </c>
      <c r="CB43" s="11">
        <v>1.1497601918465228</v>
      </c>
      <c r="CC43" s="11">
        <v>500</v>
      </c>
      <c r="CD43" s="11">
        <v>50</v>
      </c>
      <c r="CE43" s="11">
        <v>20850</v>
      </c>
    </row>
    <row r="44" spans="1:83" hidden="1">
      <c r="A44" s="13">
        <f t="shared" si="28"/>
        <v>37</v>
      </c>
      <c r="B44" s="123">
        <v>44616</v>
      </c>
      <c r="C44" s="116" t="s">
        <v>6</v>
      </c>
      <c r="D44" s="116">
        <v>1</v>
      </c>
      <c r="E44" s="115" t="s">
        <v>632</v>
      </c>
      <c r="F44" s="116" t="s">
        <v>502</v>
      </c>
      <c r="G44" s="115"/>
      <c r="H44" s="117">
        <v>44651</v>
      </c>
      <c r="I44" s="115">
        <v>50</v>
      </c>
      <c r="J44" s="115">
        <v>16595</v>
      </c>
      <c r="K44" s="115">
        <v>17442.650000000001</v>
      </c>
      <c r="L44" s="119">
        <f t="shared" ca="1" si="16"/>
        <v>0</v>
      </c>
      <c r="M44" s="119">
        <f t="shared" si="17"/>
        <v>42382.500000000073</v>
      </c>
      <c r="N44" s="115">
        <f t="shared" si="101"/>
        <v>1.0510786381440194</v>
      </c>
      <c r="O44" s="156">
        <f t="shared" si="102"/>
        <v>12446.25</v>
      </c>
      <c r="P44" s="160">
        <f t="shared" si="20"/>
        <v>829750</v>
      </c>
      <c r="Q44" s="160" t="e">
        <f t="shared" si="103"/>
        <v>#N/A</v>
      </c>
      <c r="R44" s="153" t="e">
        <f t="shared" ca="1" si="22"/>
        <v>#VALUE!</v>
      </c>
      <c r="S44" s="119">
        <f t="shared" si="104"/>
        <v>1659.4999999999995</v>
      </c>
      <c r="T44" s="115" t="str">
        <f>VLOOKUP(TRIM($F44),Reference!B:C,2,0)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4" s="170">
        <f t="shared" ca="1" si="105"/>
        <v>0</v>
      </c>
      <c r="V44" s="120" t="str">
        <f t="shared" si="6"/>
        <v>NIFTY22MARFUT</v>
      </c>
      <c r="W44" s="158" t="e">
        <f>VLOOKUP($V44,Reference!BA:BD,4,0)</f>
        <v>#N/A</v>
      </c>
      <c r="X44" s="160">
        <f t="shared" ca="1" si="7"/>
        <v>0</v>
      </c>
      <c r="Y44" s="160">
        <f t="shared" ca="1" si="8"/>
        <v>0</v>
      </c>
      <c r="Z44" s="160">
        <f t="shared" ca="1" si="25"/>
        <v>0</v>
      </c>
      <c r="AA44" s="160">
        <f t="shared" ca="1" si="9"/>
        <v>0</v>
      </c>
      <c r="AB44" s="160">
        <f t="shared" ca="1" si="10"/>
        <v>0</v>
      </c>
      <c r="AC44" s="119">
        <f t="shared" ca="1" si="11"/>
        <v>0</v>
      </c>
      <c r="AD44" s="115">
        <f t="shared" ca="1" si="106"/>
        <v>-1.4602739726027398</v>
      </c>
      <c r="AE44" s="115">
        <f t="shared" si="107"/>
        <v>20</v>
      </c>
      <c r="AF44" s="115"/>
      <c r="AG44" s="115"/>
      <c r="AH44" s="115">
        <f t="shared" si="14"/>
        <v>0</v>
      </c>
      <c r="AI44" s="115"/>
      <c r="AJ44" s="115">
        <f t="shared" si="15"/>
        <v>24.892500000000002</v>
      </c>
      <c r="AK44" s="115"/>
      <c r="AL44" s="142"/>
      <c r="AM44" s="153"/>
      <c r="AN44" s="153"/>
      <c r="AO44" s="153"/>
      <c r="AP44" s="153"/>
      <c r="AQ44" s="153"/>
      <c r="AR44" s="153"/>
      <c r="AS44" s="153"/>
      <c r="AT44" s="153"/>
      <c r="AU44" s="153"/>
      <c r="AV44" s="153"/>
      <c r="AW44" s="153"/>
      <c r="AX44" s="153"/>
      <c r="AY44" s="153"/>
      <c r="AZ44" s="153"/>
      <c r="BA44" s="153"/>
      <c r="BB44" s="153"/>
      <c r="BC44" s="153"/>
      <c r="BD44" s="153"/>
      <c r="BE44" s="153"/>
      <c r="BF44" s="153"/>
      <c r="BG44" s="153"/>
      <c r="BS44" s="13">
        <v>2</v>
      </c>
      <c r="BT44" s="123">
        <v>44491</v>
      </c>
      <c r="BU44" s="116" t="s">
        <v>8</v>
      </c>
      <c r="BV44" s="115" t="s">
        <v>482</v>
      </c>
      <c r="BW44" s="116" t="s">
        <v>502</v>
      </c>
      <c r="BX44" s="115">
        <v>18400</v>
      </c>
      <c r="BY44" s="115">
        <v>41.7</v>
      </c>
      <c r="BZ44" s="115">
        <v>47.945</v>
      </c>
      <c r="CA44" s="119">
        <v>-3216.6708800000001</v>
      </c>
      <c r="CB44" s="115">
        <v>1.1497601918465228</v>
      </c>
      <c r="CC44" s="115">
        <v>500</v>
      </c>
      <c r="CD44" s="115">
        <v>50</v>
      </c>
      <c r="CE44" s="119">
        <v>20850</v>
      </c>
    </row>
    <row r="45" spans="1:83" hidden="1">
      <c r="A45" s="13">
        <f t="shared" si="28"/>
        <v>38</v>
      </c>
      <c r="B45" s="123">
        <v>44616</v>
      </c>
      <c r="C45" s="116" t="s">
        <v>8</v>
      </c>
      <c r="D45" s="116">
        <v>1</v>
      </c>
      <c r="E45" s="115" t="s">
        <v>481</v>
      </c>
      <c r="F45" s="116" t="s">
        <v>502</v>
      </c>
      <c r="G45" s="115">
        <v>17800</v>
      </c>
      <c r="H45" s="117">
        <v>44651</v>
      </c>
      <c r="I45" s="115">
        <v>100</v>
      </c>
      <c r="J45" s="115">
        <v>110.5</v>
      </c>
      <c r="K45" s="115">
        <v>34.299999999999997</v>
      </c>
      <c r="L45" s="119">
        <f t="shared" ca="1" si="16"/>
        <v>0</v>
      </c>
      <c r="M45" s="119">
        <f t="shared" si="17"/>
        <v>7620</v>
      </c>
      <c r="N45" s="115">
        <f t="shared" si="101"/>
        <v>0.31040723981900448</v>
      </c>
      <c r="O45" s="156">
        <f t="shared" si="102"/>
        <v>138.125</v>
      </c>
      <c r="P45" s="160">
        <f t="shared" si="20"/>
        <v>11050</v>
      </c>
      <c r="Q45" s="160" t="e">
        <f>(W45-J45)*I45*IF(C45="B",1,-1)*IF(K45=0,1,0)</f>
        <v>#N/A</v>
      </c>
      <c r="R45" s="153" t="e">
        <f t="shared" ca="1" si="22"/>
        <v>#VALUE!</v>
      </c>
      <c r="S45" s="119">
        <f t="shared" si="104"/>
        <v>11.049999999999997</v>
      </c>
      <c r="T45" s="115" t="str">
        <f>VLOOKUP(TRIM($F45),Reference!B:C,2,0)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5" s="120">
        <f t="shared" ca="1" si="105"/>
        <v>0</v>
      </c>
      <c r="V45" s="120" t="str">
        <f t="shared" si="6"/>
        <v>NIFTY22MAR17800CE</v>
      </c>
      <c r="W45" s="158" t="e">
        <f>VLOOKUP($V45,Reference!BA:BD,4,0)</f>
        <v>#N/A</v>
      </c>
      <c r="X45" s="160">
        <f t="shared" ca="1" si="7"/>
        <v>0</v>
      </c>
      <c r="Y45" s="160">
        <f t="shared" ca="1" si="8"/>
        <v>0</v>
      </c>
      <c r="Z45" s="160">
        <f t="shared" ca="1" si="25"/>
        <v>0</v>
      </c>
      <c r="AA45" s="160">
        <f t="shared" ca="1" si="9"/>
        <v>0</v>
      </c>
      <c r="AB45" s="160">
        <f t="shared" ca="1" si="10"/>
        <v>0</v>
      </c>
      <c r="AC45" s="119">
        <f t="shared" ca="1" si="11"/>
        <v>0</v>
      </c>
      <c r="AD45" s="115">
        <f t="shared" ca="1" si="106"/>
        <v>-1.4602739726027398</v>
      </c>
      <c r="AE45" s="115">
        <f t="shared" si="107"/>
        <v>20</v>
      </c>
      <c r="AF45" s="115"/>
      <c r="AG45" s="115"/>
      <c r="AH45" s="115">
        <f t="shared" si="14"/>
        <v>5.5250000000000004</v>
      </c>
      <c r="AI45" s="115"/>
      <c r="AJ45" s="115">
        <f t="shared" si="15"/>
        <v>0</v>
      </c>
      <c r="AK45" s="115"/>
      <c r="AL45" s="140">
        <v>1</v>
      </c>
      <c r="AM45" s="154"/>
      <c r="AN45" s="154"/>
      <c r="AO45" s="154"/>
      <c r="AP45" s="154"/>
      <c r="AQ45" s="154"/>
      <c r="AR45" s="154"/>
      <c r="AS45" s="154"/>
      <c r="AT45" s="154"/>
      <c r="AU45" s="154"/>
      <c r="AV45" s="154"/>
      <c r="AW45" s="154"/>
      <c r="AX45" s="154"/>
      <c r="AY45" s="154"/>
      <c r="AZ45" s="154"/>
      <c r="BA45" s="154"/>
      <c r="BB45" s="154"/>
      <c r="BC45" s="154"/>
      <c r="BD45" s="154"/>
      <c r="BE45" s="154"/>
      <c r="BF45" s="154"/>
      <c r="BG45" s="154"/>
      <c r="BS45" s="11">
        <v>3</v>
      </c>
      <c r="BT45" s="11">
        <v>44491</v>
      </c>
      <c r="BU45" s="11" t="s">
        <v>8</v>
      </c>
      <c r="BV45" s="11" t="s">
        <v>481</v>
      </c>
      <c r="BW45" s="11" t="s">
        <v>502</v>
      </c>
      <c r="BX45" s="11">
        <v>18700</v>
      </c>
      <c r="BY45" s="11">
        <v>34.75</v>
      </c>
      <c r="BZ45" s="11">
        <v>0.05</v>
      </c>
      <c r="CA45" s="11">
        <v>17263.657599999999</v>
      </c>
      <c r="CB45" s="11">
        <v>1.4388489208633094E-3</v>
      </c>
      <c r="CC45" s="11">
        <v>500</v>
      </c>
      <c r="CD45" s="11">
        <v>50</v>
      </c>
      <c r="CE45" s="11">
        <v>17375</v>
      </c>
    </row>
    <row r="46" spans="1:83" hidden="1">
      <c r="A46" s="13">
        <f t="shared" si="28"/>
        <v>39</v>
      </c>
      <c r="B46" s="123">
        <v>44616</v>
      </c>
      <c r="C46" s="116" t="s">
        <v>8</v>
      </c>
      <c r="D46" s="116">
        <v>1</v>
      </c>
      <c r="E46" s="115" t="s">
        <v>481</v>
      </c>
      <c r="F46" s="116" t="s">
        <v>502</v>
      </c>
      <c r="G46" s="115">
        <v>17700</v>
      </c>
      <c r="H46" s="117">
        <v>44651</v>
      </c>
      <c r="I46" s="115">
        <v>100</v>
      </c>
      <c r="J46" s="115">
        <v>128.94999999999999</v>
      </c>
      <c r="K46" s="115">
        <v>42</v>
      </c>
      <c r="L46" s="119">
        <f t="shared" ca="1" si="16"/>
        <v>0</v>
      </c>
      <c r="M46" s="119">
        <f t="shared" si="17"/>
        <v>8694.9999999999982</v>
      </c>
      <c r="N46" s="115">
        <f t="shared" ref="N46" si="108">K46/$J46</f>
        <v>0.32570763861962004</v>
      </c>
      <c r="O46" s="156">
        <f t="shared" ref="O46" si="109">J46*(1+$O$6*IF(C46="B",-1,1))</f>
        <v>161.1875</v>
      </c>
      <c r="P46" s="160">
        <f t="shared" si="20"/>
        <v>12894.999999999998</v>
      </c>
      <c r="Q46" s="160" t="e">
        <f t="shared" ref="Q46" si="110">(W46-J46)*I46*IF(C46="B",1,-1)*IF(K46=0,1,0)</f>
        <v>#N/A</v>
      </c>
      <c r="R46" s="153" t="e">
        <f t="shared" ca="1" si="22"/>
        <v>#VALUE!</v>
      </c>
      <c r="S46" s="119">
        <f t="shared" ref="S46" si="111">(1-$S$6)*J46</f>
        <v>12.894999999999996</v>
      </c>
      <c r="T46" s="115" t="str">
        <f>VLOOKUP(TRIM($F46),Reference!B:C,2,0)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6" s="120">
        <f t="shared" ref="U46" ca="1" si="112">AC46</f>
        <v>0</v>
      </c>
      <c r="V46" s="120" t="str">
        <f t="shared" si="6"/>
        <v>NIFTY22MAR17700CE</v>
      </c>
      <c r="W46" s="158" t="e">
        <f>VLOOKUP($V46,Reference!BA:BD,4,0)</f>
        <v>#N/A</v>
      </c>
      <c r="X46" s="160">
        <f t="shared" ca="1" si="7"/>
        <v>0</v>
      </c>
      <c r="Y46" s="160">
        <f t="shared" ca="1" si="8"/>
        <v>0</v>
      </c>
      <c r="Z46" s="160">
        <f t="shared" ca="1" si="25"/>
        <v>0</v>
      </c>
      <c r="AA46" s="160">
        <f t="shared" ca="1" si="9"/>
        <v>0</v>
      </c>
      <c r="AB46" s="160">
        <f t="shared" ca="1" si="10"/>
        <v>0</v>
      </c>
      <c r="AC46" s="119">
        <f t="shared" ca="1" si="11"/>
        <v>0</v>
      </c>
      <c r="AD46" s="115">
        <f t="shared" ref="AD46" ca="1" si="113">(H46-TODAY())/365</f>
        <v>-1.4602739726027398</v>
      </c>
      <c r="AE46" s="115">
        <f t="shared" ref="AE46" si="114">IF(I46&lt;&gt;0,20,0)</f>
        <v>20</v>
      </c>
      <c r="AF46" s="115"/>
      <c r="AG46" s="115"/>
      <c r="AH46" s="115">
        <f t="shared" si="14"/>
        <v>6.4474999999999989</v>
      </c>
      <c r="AI46" s="115"/>
      <c r="AJ46" s="115">
        <f t="shared" si="15"/>
        <v>0</v>
      </c>
      <c r="AK46" s="115"/>
      <c r="AL46" s="140">
        <v>1</v>
      </c>
      <c r="AM46" s="154"/>
      <c r="AN46" s="154"/>
      <c r="AO46" s="154"/>
      <c r="AP46" s="154"/>
      <c r="AQ46" s="154"/>
      <c r="AR46" s="154"/>
      <c r="AS46" s="154"/>
      <c r="AT46" s="154"/>
      <c r="AU46" s="154"/>
      <c r="AV46" s="154"/>
      <c r="AW46" s="154"/>
      <c r="AX46" s="154"/>
      <c r="AY46" s="154"/>
      <c r="AZ46" s="154"/>
      <c r="BA46" s="154"/>
      <c r="BB46" s="154"/>
      <c r="BC46" s="154"/>
      <c r="BD46" s="154"/>
      <c r="BE46" s="154"/>
      <c r="BF46" s="154"/>
      <c r="BG46" s="154"/>
      <c r="BS46" s="11">
        <v>3</v>
      </c>
      <c r="BT46" s="11">
        <v>44491</v>
      </c>
      <c r="BU46" s="11" t="s">
        <v>8</v>
      </c>
      <c r="BV46" s="11" t="s">
        <v>481</v>
      </c>
      <c r="BW46" s="11" t="s">
        <v>502</v>
      </c>
      <c r="BX46" s="11">
        <v>18700</v>
      </c>
      <c r="BY46" s="11">
        <v>34.75</v>
      </c>
      <c r="BZ46" s="11">
        <v>0.05</v>
      </c>
      <c r="CA46" s="11">
        <v>17263.657599999999</v>
      </c>
      <c r="CB46" s="11">
        <v>1.4388489208633094E-3</v>
      </c>
      <c r="CC46" s="11">
        <v>500</v>
      </c>
      <c r="CD46" s="11">
        <v>50</v>
      </c>
      <c r="CE46" s="11">
        <v>17375</v>
      </c>
    </row>
    <row r="47" spans="1:83" hidden="1">
      <c r="A47" s="13">
        <f t="shared" si="28"/>
        <v>40</v>
      </c>
      <c r="B47" s="123">
        <v>44616</v>
      </c>
      <c r="C47" s="116" t="s">
        <v>8</v>
      </c>
      <c r="D47" s="116">
        <v>1</v>
      </c>
      <c r="E47" s="115" t="s">
        <v>481</v>
      </c>
      <c r="F47" s="116" t="s">
        <v>502</v>
      </c>
      <c r="G47" s="115">
        <v>17650</v>
      </c>
      <c r="H47" s="117">
        <v>44651</v>
      </c>
      <c r="I47" s="115">
        <v>50</v>
      </c>
      <c r="J47" s="115">
        <v>136.4</v>
      </c>
      <c r="K47" s="115">
        <v>46.95</v>
      </c>
      <c r="L47" s="119">
        <f t="shared" ca="1" si="16"/>
        <v>0</v>
      </c>
      <c r="M47" s="119">
        <f t="shared" si="17"/>
        <v>4472.5</v>
      </c>
      <c r="N47" s="115">
        <f t="shared" ref="N47:N49" si="115">K47/$J47</f>
        <v>0.34420821114369504</v>
      </c>
      <c r="O47" s="156">
        <f t="shared" ref="O47:O49" si="116">J47*(1+$O$6*IF(C47="B",-1,1))</f>
        <v>170.5</v>
      </c>
      <c r="P47" s="160">
        <f t="shared" si="20"/>
        <v>6820</v>
      </c>
      <c r="Q47" s="160" t="e">
        <f t="shared" ref="Q47:Q49" si="117">(W47-J47)*I47*IF(C47="B",1,-1)*IF(K47=0,1,0)</f>
        <v>#N/A</v>
      </c>
      <c r="R47" s="153" t="e">
        <f t="shared" ca="1" si="22"/>
        <v>#VALUE!</v>
      </c>
      <c r="S47" s="119">
        <f t="shared" ref="S47:S49" si="118">(1-$S$6)*J47</f>
        <v>13.639999999999997</v>
      </c>
      <c r="T47" s="115" t="str">
        <f>VLOOKUP(TRIM($F47),Reference!B:C,2,0)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7" s="120">
        <f t="shared" ref="U47:U49" ca="1" si="119">AC47</f>
        <v>0</v>
      </c>
      <c r="V47" s="120" t="str">
        <f t="shared" si="6"/>
        <v>NIFTY22MAR17650CE</v>
      </c>
      <c r="W47" s="158" t="e">
        <f>VLOOKUP($V47,Reference!BA:BD,4,0)</f>
        <v>#N/A</v>
      </c>
      <c r="X47" s="160">
        <f t="shared" ca="1" si="7"/>
        <v>0</v>
      </c>
      <c r="Y47" s="160">
        <f t="shared" ca="1" si="8"/>
        <v>0</v>
      </c>
      <c r="Z47" s="160">
        <f t="shared" ca="1" si="25"/>
        <v>0</v>
      </c>
      <c r="AA47" s="160">
        <f t="shared" ca="1" si="9"/>
        <v>0</v>
      </c>
      <c r="AB47" s="160">
        <f t="shared" ca="1" si="10"/>
        <v>0</v>
      </c>
      <c r="AC47" s="119">
        <f t="shared" ca="1" si="11"/>
        <v>0</v>
      </c>
      <c r="AD47" s="115">
        <f t="shared" ref="AD47:AD49" ca="1" si="120">(H47-TODAY())/365</f>
        <v>-1.4602739726027398</v>
      </c>
      <c r="AE47" s="115">
        <f t="shared" ref="AE47:AE49" si="121">IF(I47&lt;&gt;0,20,0)</f>
        <v>20</v>
      </c>
      <c r="AF47" s="115"/>
      <c r="AG47" s="115"/>
      <c r="AH47" s="115">
        <f t="shared" si="14"/>
        <v>3.41</v>
      </c>
      <c r="AI47" s="115"/>
      <c r="AJ47" s="115">
        <f t="shared" si="15"/>
        <v>0</v>
      </c>
      <c r="AK47" s="115"/>
      <c r="AL47" s="140">
        <v>1</v>
      </c>
      <c r="AM47" s="154"/>
      <c r="AN47" s="154"/>
      <c r="AO47" s="154"/>
      <c r="AP47" s="154"/>
      <c r="AQ47" s="154"/>
      <c r="AR47" s="154"/>
      <c r="AS47" s="154"/>
      <c r="AT47" s="154"/>
      <c r="AU47" s="154"/>
      <c r="AV47" s="154"/>
      <c r="AW47" s="154"/>
      <c r="AX47" s="154"/>
      <c r="AY47" s="154"/>
      <c r="AZ47" s="154"/>
      <c r="BA47" s="154"/>
      <c r="BB47" s="154"/>
      <c r="BC47" s="154"/>
      <c r="BD47" s="154"/>
      <c r="BE47" s="154"/>
      <c r="BF47" s="154"/>
      <c r="BG47" s="154"/>
      <c r="BS47" s="11">
        <v>3</v>
      </c>
      <c r="BT47" s="11">
        <v>44491</v>
      </c>
      <c r="BU47" s="11" t="s">
        <v>8</v>
      </c>
      <c r="BV47" s="11" t="s">
        <v>481</v>
      </c>
      <c r="BW47" s="11" t="s">
        <v>502</v>
      </c>
      <c r="BX47" s="11">
        <v>18700</v>
      </c>
      <c r="BY47" s="11">
        <v>34.75</v>
      </c>
      <c r="BZ47" s="11">
        <v>0.05</v>
      </c>
      <c r="CA47" s="11">
        <v>17263.657599999999</v>
      </c>
      <c r="CB47" s="11">
        <v>1.4388489208633094E-3</v>
      </c>
      <c r="CC47" s="11">
        <v>500</v>
      </c>
      <c r="CD47" s="11">
        <v>50</v>
      </c>
      <c r="CE47" s="11">
        <v>17375</v>
      </c>
    </row>
    <row r="48" spans="1:83" hidden="1">
      <c r="A48" s="13">
        <f t="shared" si="28"/>
        <v>41</v>
      </c>
      <c r="B48" s="123">
        <v>44616</v>
      </c>
      <c r="C48" s="116" t="s">
        <v>8</v>
      </c>
      <c r="D48" s="116">
        <v>1</v>
      </c>
      <c r="E48" s="115" t="s">
        <v>481</v>
      </c>
      <c r="F48" s="116" t="s">
        <v>130</v>
      </c>
      <c r="G48" s="115">
        <v>235</v>
      </c>
      <c r="H48" s="117">
        <v>44651</v>
      </c>
      <c r="I48" s="115">
        <v>13500</v>
      </c>
      <c r="J48" s="115">
        <v>2.75</v>
      </c>
      <c r="K48" s="115">
        <v>4.8</v>
      </c>
      <c r="L48" s="119">
        <f t="shared" ca="1" si="16"/>
        <v>0</v>
      </c>
      <c r="M48" s="119">
        <f t="shared" si="17"/>
        <v>-27674.999999999996</v>
      </c>
      <c r="N48" s="115">
        <f t="shared" si="115"/>
        <v>1.7454545454545454</v>
      </c>
      <c r="O48" s="156">
        <f t="shared" si="116"/>
        <v>3.4375</v>
      </c>
      <c r="P48" s="160">
        <f t="shared" si="20"/>
        <v>37125</v>
      </c>
      <c r="Q48" s="160" t="e">
        <f t="shared" si="117"/>
        <v>#N/A</v>
      </c>
      <c r="R48" s="153" t="e">
        <f t="shared" ca="1" si="22"/>
        <v>#VALUE!</v>
      </c>
      <c r="S48" s="119">
        <f t="shared" si="118"/>
        <v>0.27499999999999991</v>
      </c>
      <c r="T48" s="115" t="e">
        <f>VLOOKUP(TRIM($F48),Reference!B:C,2,0)</f>
        <v>#VALUE!</v>
      </c>
      <c r="U48" s="170">
        <f t="shared" ca="1" si="119"/>
        <v>0</v>
      </c>
      <c r="V48" s="120" t="str">
        <f t="shared" si="6"/>
        <v>TATAPOWER22MAR235CE</v>
      </c>
      <c r="W48" s="158" t="e">
        <f>VLOOKUP($V48,Reference!BA:BD,4,0)</f>
        <v>#N/A</v>
      </c>
      <c r="X48" s="160">
        <f t="shared" ca="1" si="7"/>
        <v>0</v>
      </c>
      <c r="Y48" s="160">
        <f t="shared" ca="1" si="8"/>
        <v>0</v>
      </c>
      <c r="Z48" s="160">
        <f t="shared" ca="1" si="25"/>
        <v>0</v>
      </c>
      <c r="AA48" s="160">
        <f t="shared" ca="1" si="9"/>
        <v>0</v>
      </c>
      <c r="AB48" s="160">
        <f t="shared" ca="1" si="10"/>
        <v>0</v>
      </c>
      <c r="AC48" s="119">
        <f t="shared" ca="1" si="11"/>
        <v>0</v>
      </c>
      <c r="AD48" s="115">
        <f t="shared" ca="1" si="120"/>
        <v>-1.4602739726027398</v>
      </c>
      <c r="AE48" s="115">
        <f t="shared" si="121"/>
        <v>20</v>
      </c>
      <c r="AF48" s="115"/>
      <c r="AG48" s="115"/>
      <c r="AH48" s="115">
        <f t="shared" si="14"/>
        <v>18.5625</v>
      </c>
      <c r="AI48" s="115"/>
      <c r="AJ48" s="115">
        <f t="shared" si="15"/>
        <v>0</v>
      </c>
      <c r="AK48" s="115"/>
      <c r="AL48" s="142"/>
      <c r="AM48" s="153"/>
      <c r="AN48" s="153"/>
      <c r="AO48" s="153"/>
      <c r="AP48" s="153"/>
      <c r="AQ48" s="153"/>
      <c r="AR48" s="153"/>
      <c r="AS48" s="153"/>
      <c r="AT48" s="153"/>
      <c r="AU48" s="153"/>
      <c r="AV48" s="153"/>
      <c r="AW48" s="153"/>
      <c r="AX48" s="153"/>
      <c r="AY48" s="153"/>
      <c r="AZ48" s="153"/>
      <c r="BA48" s="153"/>
      <c r="BB48" s="153"/>
      <c r="BC48" s="153"/>
      <c r="BD48" s="153"/>
      <c r="BE48" s="153"/>
      <c r="BF48" s="153"/>
      <c r="BG48" s="153"/>
      <c r="BS48" s="13">
        <v>2</v>
      </c>
      <c r="BT48" s="123">
        <v>44491</v>
      </c>
      <c r="BU48" s="116" t="s">
        <v>8</v>
      </c>
      <c r="BV48" s="115" t="s">
        <v>482</v>
      </c>
      <c r="BW48" s="116" t="s">
        <v>502</v>
      </c>
      <c r="BX48" s="115">
        <v>18400</v>
      </c>
      <c r="BY48" s="115">
        <v>41.7</v>
      </c>
      <c r="BZ48" s="115">
        <v>47.945</v>
      </c>
      <c r="CA48" s="119">
        <v>-3216.6708800000001</v>
      </c>
      <c r="CB48" s="115">
        <v>1.1497601918465228</v>
      </c>
      <c r="CC48" s="115">
        <v>500</v>
      </c>
      <c r="CD48" s="115">
        <v>50</v>
      </c>
      <c r="CE48" s="119">
        <v>20850</v>
      </c>
    </row>
    <row r="49" spans="1:83" hidden="1">
      <c r="A49" s="13">
        <f t="shared" si="28"/>
        <v>42</v>
      </c>
      <c r="B49" s="123">
        <v>44616</v>
      </c>
      <c r="C49" s="116" t="s">
        <v>6</v>
      </c>
      <c r="D49" s="116">
        <v>1</v>
      </c>
      <c r="E49" s="115" t="s">
        <v>632</v>
      </c>
      <c r="F49" s="116" t="s">
        <v>130</v>
      </c>
      <c r="G49" s="115"/>
      <c r="H49" s="117">
        <v>44651</v>
      </c>
      <c r="I49" s="115">
        <v>6750</v>
      </c>
      <c r="J49" s="115">
        <v>203.8</v>
      </c>
      <c r="K49" s="115">
        <v>226.5</v>
      </c>
      <c r="L49" s="119">
        <f t="shared" ca="1" si="16"/>
        <v>0</v>
      </c>
      <c r="M49" s="119">
        <f t="shared" si="17"/>
        <v>153224.99999999991</v>
      </c>
      <c r="N49" s="115">
        <f t="shared" si="115"/>
        <v>1.1113837095191363</v>
      </c>
      <c r="O49" s="156">
        <f t="shared" si="116"/>
        <v>152.85000000000002</v>
      </c>
      <c r="P49" s="160">
        <f t="shared" si="20"/>
        <v>1375650</v>
      </c>
      <c r="Q49" s="160" t="e">
        <f t="shared" si="117"/>
        <v>#N/A</v>
      </c>
      <c r="R49" s="153" t="e">
        <f t="shared" ca="1" si="22"/>
        <v>#VALUE!</v>
      </c>
      <c r="S49" s="119">
        <f t="shared" si="118"/>
        <v>20.379999999999995</v>
      </c>
      <c r="T49" s="115" t="e">
        <f>VLOOKUP(TRIM($F49),Reference!B:C,2,0)</f>
        <v>#VALUE!</v>
      </c>
      <c r="U49" s="170">
        <f t="shared" ca="1" si="119"/>
        <v>0</v>
      </c>
      <c r="V49" s="120" t="str">
        <f t="shared" si="6"/>
        <v>TATAPOWER22MARFUT</v>
      </c>
      <c r="W49" s="158" t="e">
        <f>VLOOKUP($V49,Reference!BA:BD,4,0)</f>
        <v>#N/A</v>
      </c>
      <c r="X49" s="160">
        <f t="shared" ca="1" si="7"/>
        <v>0</v>
      </c>
      <c r="Y49" s="160">
        <f t="shared" ca="1" si="8"/>
        <v>0</v>
      </c>
      <c r="Z49" s="160">
        <f t="shared" ca="1" si="25"/>
        <v>0</v>
      </c>
      <c r="AA49" s="160">
        <f t="shared" ca="1" si="9"/>
        <v>0</v>
      </c>
      <c r="AB49" s="160">
        <f t="shared" ca="1" si="10"/>
        <v>0</v>
      </c>
      <c r="AC49" s="119">
        <f t="shared" ca="1" si="11"/>
        <v>0</v>
      </c>
      <c r="AD49" s="115">
        <f t="shared" ca="1" si="120"/>
        <v>-1.4602739726027398</v>
      </c>
      <c r="AE49" s="115">
        <f t="shared" si="121"/>
        <v>20</v>
      </c>
      <c r="AF49" s="115"/>
      <c r="AG49" s="115"/>
      <c r="AH49" s="115">
        <f t="shared" si="14"/>
        <v>0</v>
      </c>
      <c r="AI49" s="115"/>
      <c r="AJ49" s="115">
        <f t="shared" si="15"/>
        <v>41.269500000000001</v>
      </c>
      <c r="AK49" s="115"/>
      <c r="AL49" s="142"/>
      <c r="AM49" s="153"/>
      <c r="AN49" s="153"/>
      <c r="AO49" s="153"/>
      <c r="AP49" s="153"/>
      <c r="AQ49" s="153"/>
      <c r="AR49" s="153"/>
      <c r="AS49" s="153"/>
      <c r="AT49" s="153"/>
      <c r="AU49" s="153"/>
      <c r="AV49" s="153"/>
      <c r="AW49" s="153"/>
      <c r="AX49" s="153"/>
      <c r="AY49" s="153"/>
      <c r="AZ49" s="153"/>
      <c r="BA49" s="153"/>
      <c r="BB49" s="153"/>
      <c r="BC49" s="153"/>
      <c r="BD49" s="153"/>
      <c r="BE49" s="153"/>
      <c r="BF49" s="153"/>
      <c r="BG49" s="153"/>
      <c r="BS49" s="13">
        <v>2</v>
      </c>
      <c r="BT49" s="123">
        <v>44491</v>
      </c>
      <c r="BU49" s="116" t="s">
        <v>8</v>
      </c>
      <c r="BV49" s="115" t="s">
        <v>482</v>
      </c>
      <c r="BW49" s="116" t="s">
        <v>502</v>
      </c>
      <c r="BX49" s="115">
        <v>18400</v>
      </c>
      <c r="BY49" s="115">
        <v>41.7</v>
      </c>
      <c r="BZ49" s="115">
        <v>47.945</v>
      </c>
      <c r="CA49" s="119">
        <v>-3216.6708800000001</v>
      </c>
      <c r="CB49" s="115">
        <v>1.1497601918465228</v>
      </c>
      <c r="CC49" s="115">
        <v>500</v>
      </c>
      <c r="CD49" s="115">
        <v>50</v>
      </c>
      <c r="CE49" s="119">
        <v>20850</v>
      </c>
    </row>
    <row r="50" spans="1:83" hidden="1">
      <c r="A50" s="13">
        <f t="shared" si="28"/>
        <v>43</v>
      </c>
      <c r="B50" s="123">
        <v>44616</v>
      </c>
      <c r="C50" s="116" t="s">
        <v>8</v>
      </c>
      <c r="D50" s="116">
        <v>1</v>
      </c>
      <c r="E50" s="115" t="s">
        <v>481</v>
      </c>
      <c r="F50" s="116" t="s">
        <v>130</v>
      </c>
      <c r="G50" s="115">
        <v>235</v>
      </c>
      <c r="H50" s="117">
        <v>44651</v>
      </c>
      <c r="I50" s="115">
        <v>6750</v>
      </c>
      <c r="J50" s="115">
        <v>2.75</v>
      </c>
      <c r="K50" s="115">
        <v>4.5999999999999996</v>
      </c>
      <c r="L50" s="119">
        <f t="shared" ca="1" si="16"/>
        <v>0</v>
      </c>
      <c r="M50" s="119">
        <f t="shared" si="17"/>
        <v>-12487.499999999998</v>
      </c>
      <c r="N50" s="115">
        <f t="shared" ref="N50:N51" si="122">K50/$J50</f>
        <v>1.6727272727272726</v>
      </c>
      <c r="O50" s="156">
        <f t="shared" ref="O50:O51" si="123">J50*(1+$O$6*IF(C50="B",-1,1))</f>
        <v>3.4375</v>
      </c>
      <c r="P50" s="160">
        <f t="shared" si="20"/>
        <v>18562.5</v>
      </c>
      <c r="Q50" s="160" t="e">
        <f t="shared" ref="Q50:Q51" si="124">(W50-J50)*I50*IF(C50="B",1,-1)*IF(K50=0,1,0)</f>
        <v>#N/A</v>
      </c>
      <c r="R50" s="153" t="e">
        <f t="shared" ca="1" si="22"/>
        <v>#VALUE!</v>
      </c>
      <c r="S50" s="119">
        <f t="shared" ref="S50:S51" si="125">(1-$S$6)*J50</f>
        <v>0.27499999999999991</v>
      </c>
      <c r="T50" s="115" t="e">
        <f>VLOOKUP(TRIM($F50),Reference!B:C,2,0)</f>
        <v>#VALUE!</v>
      </c>
      <c r="U50" s="170">
        <f t="shared" ref="U50:U51" ca="1" si="126">AC50</f>
        <v>0</v>
      </c>
      <c r="V50" s="120" t="str">
        <f t="shared" si="6"/>
        <v>TATAPOWER22MAR235CE</v>
      </c>
      <c r="W50" s="158" t="e">
        <f>VLOOKUP($V50,Reference!BA:BD,4,0)</f>
        <v>#N/A</v>
      </c>
      <c r="X50" s="160">
        <f t="shared" ca="1" si="7"/>
        <v>0</v>
      </c>
      <c r="Y50" s="160">
        <f t="shared" ca="1" si="8"/>
        <v>0</v>
      </c>
      <c r="Z50" s="160">
        <f t="shared" ca="1" si="25"/>
        <v>0</v>
      </c>
      <c r="AA50" s="160">
        <f t="shared" ca="1" si="9"/>
        <v>0</v>
      </c>
      <c r="AB50" s="160">
        <f t="shared" ca="1" si="10"/>
        <v>0</v>
      </c>
      <c r="AC50" s="119">
        <f t="shared" ca="1" si="11"/>
        <v>0</v>
      </c>
      <c r="AD50" s="115">
        <f t="shared" ref="AD50:AD51" ca="1" si="127">(H50-TODAY())/365</f>
        <v>-1.4602739726027398</v>
      </c>
      <c r="AE50" s="115">
        <f t="shared" ref="AE50:AE51" si="128">IF(I50&lt;&gt;0,20,0)</f>
        <v>20</v>
      </c>
      <c r="AF50" s="115"/>
      <c r="AG50" s="115"/>
      <c r="AH50" s="115">
        <f t="shared" si="14"/>
        <v>9.28125</v>
      </c>
      <c r="AI50" s="115"/>
      <c r="AJ50" s="115">
        <f t="shared" si="15"/>
        <v>0</v>
      </c>
      <c r="AK50" s="115"/>
      <c r="AL50" s="142"/>
      <c r="AM50" s="153"/>
      <c r="AN50" s="153"/>
      <c r="AO50" s="153"/>
      <c r="AP50" s="153"/>
      <c r="AQ50" s="153"/>
      <c r="AR50" s="153"/>
      <c r="AS50" s="153"/>
      <c r="AT50" s="153"/>
      <c r="AU50" s="153"/>
      <c r="AV50" s="153"/>
      <c r="AW50" s="153"/>
      <c r="AX50" s="153"/>
      <c r="AY50" s="153"/>
      <c r="AZ50" s="153"/>
      <c r="BA50" s="153"/>
      <c r="BB50" s="153"/>
      <c r="BC50" s="153"/>
      <c r="BD50" s="153"/>
      <c r="BE50" s="153"/>
      <c r="BF50" s="153"/>
      <c r="BG50" s="153"/>
      <c r="BS50" s="13">
        <v>2</v>
      </c>
      <c r="BT50" s="123">
        <v>44491</v>
      </c>
      <c r="BU50" s="116" t="s">
        <v>8</v>
      </c>
      <c r="BV50" s="115" t="s">
        <v>482</v>
      </c>
      <c r="BW50" s="116" t="s">
        <v>502</v>
      </c>
      <c r="BX50" s="115">
        <v>18400</v>
      </c>
      <c r="BY50" s="115">
        <v>41.7</v>
      </c>
      <c r="BZ50" s="115">
        <v>47.945</v>
      </c>
      <c r="CA50" s="119">
        <v>-3216.6708800000001</v>
      </c>
      <c r="CB50" s="115">
        <v>1.1497601918465228</v>
      </c>
      <c r="CC50" s="115">
        <v>500</v>
      </c>
      <c r="CD50" s="115">
        <v>50</v>
      </c>
      <c r="CE50" s="119">
        <v>20850</v>
      </c>
    </row>
    <row r="51" spans="1:83" hidden="1">
      <c r="A51" s="13">
        <f t="shared" si="28"/>
        <v>44</v>
      </c>
      <c r="B51" s="123">
        <v>44617</v>
      </c>
      <c r="C51" s="116" t="s">
        <v>6</v>
      </c>
      <c r="D51" s="116">
        <v>1</v>
      </c>
      <c r="E51" s="115" t="s">
        <v>632</v>
      </c>
      <c r="F51" s="116" t="s">
        <v>130</v>
      </c>
      <c r="G51" s="115"/>
      <c r="H51" s="117">
        <v>44651</v>
      </c>
      <c r="I51" s="115">
        <v>6750</v>
      </c>
      <c r="J51" s="115">
        <v>220.4</v>
      </c>
      <c r="K51" s="115">
        <v>220.5</v>
      </c>
      <c r="L51" s="119">
        <f t="shared" ca="1" si="16"/>
        <v>0</v>
      </c>
      <c r="M51" s="119">
        <f t="shared" si="17"/>
        <v>674.99999999996157</v>
      </c>
      <c r="N51" s="115">
        <f t="shared" si="122"/>
        <v>1.0004537205081669</v>
      </c>
      <c r="O51" s="156">
        <f t="shared" si="123"/>
        <v>165.3</v>
      </c>
      <c r="P51" s="160">
        <f t="shared" si="20"/>
        <v>1487700</v>
      </c>
      <c r="Q51" s="160" t="e">
        <f t="shared" si="124"/>
        <v>#N/A</v>
      </c>
      <c r="R51" s="153" t="e">
        <f t="shared" ca="1" si="22"/>
        <v>#VALUE!</v>
      </c>
      <c r="S51" s="119">
        <f t="shared" si="125"/>
        <v>22.039999999999996</v>
      </c>
      <c r="T51" s="115" t="e">
        <f>VLOOKUP(TRIM($F51),Reference!B:C,2,0)</f>
        <v>#VALUE!</v>
      </c>
      <c r="U51" s="170">
        <f t="shared" ca="1" si="126"/>
        <v>0</v>
      </c>
      <c r="V51" s="120" t="str">
        <f t="shared" si="6"/>
        <v>TATAPOWER22MARFUT</v>
      </c>
      <c r="W51" s="158" t="e">
        <f>VLOOKUP($V51,Reference!BA:BD,4,0)</f>
        <v>#N/A</v>
      </c>
      <c r="X51" s="160">
        <f t="shared" ca="1" si="7"/>
        <v>0</v>
      </c>
      <c r="Y51" s="160">
        <f t="shared" ca="1" si="8"/>
        <v>0</v>
      </c>
      <c r="Z51" s="160">
        <f t="shared" ca="1" si="25"/>
        <v>0</v>
      </c>
      <c r="AA51" s="160">
        <f t="shared" ca="1" si="9"/>
        <v>0</v>
      </c>
      <c r="AB51" s="160">
        <f t="shared" ca="1" si="10"/>
        <v>0</v>
      </c>
      <c r="AC51" s="119">
        <f t="shared" ca="1" si="11"/>
        <v>0</v>
      </c>
      <c r="AD51" s="115">
        <f t="shared" ca="1" si="127"/>
        <v>-1.4602739726027398</v>
      </c>
      <c r="AE51" s="115">
        <f t="shared" si="128"/>
        <v>20</v>
      </c>
      <c r="AF51" s="115"/>
      <c r="AG51" s="115"/>
      <c r="AH51" s="115">
        <f t="shared" si="14"/>
        <v>0</v>
      </c>
      <c r="AI51" s="115"/>
      <c r="AJ51" s="115">
        <f t="shared" si="15"/>
        <v>44.631</v>
      </c>
      <c r="AK51" s="115"/>
      <c r="AL51" s="142"/>
      <c r="AM51" s="153"/>
      <c r="AN51" s="153"/>
      <c r="AO51" s="153"/>
      <c r="AP51" s="153"/>
      <c r="AQ51" s="153"/>
      <c r="AR51" s="153"/>
      <c r="AS51" s="153"/>
      <c r="AT51" s="153"/>
      <c r="AU51" s="153"/>
      <c r="AV51" s="153"/>
      <c r="AW51" s="153"/>
      <c r="AX51" s="153"/>
      <c r="AY51" s="153"/>
      <c r="AZ51" s="153"/>
      <c r="BA51" s="153"/>
      <c r="BB51" s="153"/>
      <c r="BC51" s="153"/>
      <c r="BD51" s="153"/>
      <c r="BE51" s="153"/>
      <c r="BF51" s="153"/>
      <c r="BG51" s="153"/>
      <c r="BS51" s="13">
        <v>2</v>
      </c>
      <c r="BT51" s="123">
        <v>44491</v>
      </c>
      <c r="BU51" s="116" t="s">
        <v>8</v>
      </c>
      <c r="BV51" s="115" t="s">
        <v>482</v>
      </c>
      <c r="BW51" s="116" t="s">
        <v>502</v>
      </c>
      <c r="BX51" s="115">
        <v>18400</v>
      </c>
      <c r="BY51" s="115">
        <v>41.7</v>
      </c>
      <c r="BZ51" s="115">
        <v>47.945</v>
      </c>
      <c r="CA51" s="119">
        <v>-3216.6708800000001</v>
      </c>
      <c r="CB51" s="115">
        <v>1.1497601918465228</v>
      </c>
      <c r="CC51" s="115">
        <v>500</v>
      </c>
      <c r="CD51" s="115">
        <v>50</v>
      </c>
      <c r="CE51" s="119">
        <v>20850</v>
      </c>
    </row>
    <row r="52" spans="1:83" hidden="1">
      <c r="A52" s="13">
        <f t="shared" si="28"/>
        <v>45</v>
      </c>
      <c r="B52" s="123">
        <v>44617</v>
      </c>
      <c r="C52" s="116" t="s">
        <v>8</v>
      </c>
      <c r="D52" s="116">
        <v>1</v>
      </c>
      <c r="E52" s="115" t="s">
        <v>481</v>
      </c>
      <c r="F52" s="116" t="s">
        <v>130</v>
      </c>
      <c r="G52" s="115">
        <v>250</v>
      </c>
      <c r="H52" s="117">
        <v>44651</v>
      </c>
      <c r="I52" s="115">
        <v>6750</v>
      </c>
      <c r="J52" s="115">
        <v>2.15</v>
      </c>
      <c r="K52" s="115">
        <v>2.1</v>
      </c>
      <c r="L52" s="119">
        <f t="shared" ca="1" si="16"/>
        <v>0</v>
      </c>
      <c r="M52" s="119">
        <f t="shared" si="17"/>
        <v>337.49999999999881</v>
      </c>
      <c r="N52" s="115">
        <f t="shared" ref="N52" si="129">K52/$J52</f>
        <v>0.9767441860465117</v>
      </c>
      <c r="O52" s="156">
        <f t="shared" ref="O52" si="130">J52*(1+$O$6*IF(C52="B",-1,1))</f>
        <v>2.6875</v>
      </c>
      <c r="P52" s="160">
        <f t="shared" si="20"/>
        <v>14512.5</v>
      </c>
      <c r="Q52" s="160" t="e">
        <f t="shared" ref="Q52" si="131">(W52-J52)*I52*IF(C52="B",1,-1)*IF(K52=0,1,0)</f>
        <v>#N/A</v>
      </c>
      <c r="R52" s="153" t="e">
        <f t="shared" ca="1" si="22"/>
        <v>#VALUE!</v>
      </c>
      <c r="S52" s="119">
        <f t="shared" ref="S52" si="132">(1-$S$6)*J52</f>
        <v>0.21499999999999994</v>
      </c>
      <c r="T52" s="115" t="e">
        <f>VLOOKUP(TRIM($F52),Reference!B:C,2,0)</f>
        <v>#VALUE!</v>
      </c>
      <c r="U52" s="170">
        <f t="shared" ref="U52" ca="1" si="133">AC52</f>
        <v>0</v>
      </c>
      <c r="V52" s="120" t="str">
        <f t="shared" si="6"/>
        <v>TATAPOWER22MAR250CE</v>
      </c>
      <c r="W52" s="158" t="e">
        <f>VLOOKUP($V52,Reference!BA:BD,4,0)</f>
        <v>#N/A</v>
      </c>
      <c r="X52" s="160">
        <f t="shared" ca="1" si="7"/>
        <v>0</v>
      </c>
      <c r="Y52" s="160">
        <f t="shared" ca="1" si="8"/>
        <v>0</v>
      </c>
      <c r="Z52" s="160">
        <f t="shared" ca="1" si="25"/>
        <v>0</v>
      </c>
      <c r="AA52" s="160">
        <f t="shared" ca="1" si="9"/>
        <v>0</v>
      </c>
      <c r="AB52" s="160">
        <f t="shared" ca="1" si="10"/>
        <v>0</v>
      </c>
      <c r="AC52" s="119">
        <f t="shared" ca="1" si="11"/>
        <v>0</v>
      </c>
      <c r="AD52" s="115">
        <f t="shared" ref="AD52" ca="1" si="134">(H52-TODAY())/365</f>
        <v>-1.4602739726027398</v>
      </c>
      <c r="AE52" s="115">
        <f t="shared" ref="AE52" si="135">IF(I52&lt;&gt;0,20,0)</f>
        <v>20</v>
      </c>
      <c r="AF52" s="115"/>
      <c r="AG52" s="115"/>
      <c r="AH52" s="115">
        <f t="shared" si="14"/>
        <v>7.2562500000000005</v>
      </c>
      <c r="AI52" s="115"/>
      <c r="AJ52" s="115">
        <f t="shared" si="15"/>
        <v>0</v>
      </c>
      <c r="AK52" s="115"/>
      <c r="AL52" s="142"/>
      <c r="AM52" s="153"/>
      <c r="AN52" s="153"/>
      <c r="AO52" s="153"/>
      <c r="AP52" s="153"/>
      <c r="AQ52" s="153"/>
      <c r="AR52" s="153"/>
      <c r="AS52" s="153"/>
      <c r="AT52" s="153"/>
      <c r="AU52" s="153"/>
      <c r="AV52" s="153"/>
      <c r="AW52" s="153"/>
      <c r="AX52" s="153"/>
      <c r="AY52" s="153"/>
      <c r="AZ52" s="153"/>
      <c r="BA52" s="153"/>
      <c r="BB52" s="153"/>
      <c r="BC52" s="153"/>
      <c r="BD52" s="153"/>
      <c r="BE52" s="153"/>
      <c r="BF52" s="153"/>
      <c r="BG52" s="153"/>
      <c r="BS52" s="13">
        <v>2</v>
      </c>
      <c r="BT52" s="123">
        <v>44491</v>
      </c>
      <c r="BU52" s="116" t="s">
        <v>8</v>
      </c>
      <c r="BV52" s="115" t="s">
        <v>482</v>
      </c>
      <c r="BW52" s="116" t="s">
        <v>502</v>
      </c>
      <c r="BX52" s="115">
        <v>18400</v>
      </c>
      <c r="BY52" s="115">
        <v>41.7</v>
      </c>
      <c r="BZ52" s="115">
        <v>47.945</v>
      </c>
      <c r="CA52" s="119">
        <v>-3216.6708800000001</v>
      </c>
      <c r="CB52" s="115">
        <v>1.1497601918465228</v>
      </c>
      <c r="CC52" s="115">
        <v>500</v>
      </c>
      <c r="CD52" s="115">
        <v>50</v>
      </c>
      <c r="CE52" s="119">
        <v>20850</v>
      </c>
    </row>
    <row r="53" spans="1:83" hidden="1">
      <c r="A53" s="13">
        <f t="shared" si="28"/>
        <v>46</v>
      </c>
      <c r="B53" s="123">
        <v>44617</v>
      </c>
      <c r="C53" s="116" t="s">
        <v>8</v>
      </c>
      <c r="D53" s="116">
        <v>1</v>
      </c>
      <c r="E53" s="115" t="s">
        <v>481</v>
      </c>
      <c r="F53" s="116" t="s">
        <v>284</v>
      </c>
      <c r="G53" s="115">
        <v>550</v>
      </c>
      <c r="H53" s="117">
        <v>44651</v>
      </c>
      <c r="I53" s="115">
        <v>2850</v>
      </c>
      <c r="J53" s="115">
        <v>2.75</v>
      </c>
      <c r="K53" s="115">
        <v>1.3</v>
      </c>
      <c r="L53" s="119">
        <f t="shared" ca="1" si="16"/>
        <v>0</v>
      </c>
      <c r="M53" s="119">
        <f t="shared" si="17"/>
        <v>4132.5</v>
      </c>
      <c r="N53" s="115">
        <f t="shared" ref="N53:N55" si="136">K53/$J53</f>
        <v>0.47272727272727272</v>
      </c>
      <c r="O53" s="156">
        <f t="shared" ref="O53:O55" si="137">J53*(1+$O$6*IF(C53="B",-1,1))</f>
        <v>3.4375</v>
      </c>
      <c r="P53" s="160">
        <f t="shared" si="20"/>
        <v>7837.5</v>
      </c>
      <c r="Q53" s="160" t="e">
        <f t="shared" ref="Q53:Q55" si="138">(W53-J53)*I53*IF(C53="B",1,-1)*IF(K53=0,1,0)</f>
        <v>#N/A</v>
      </c>
      <c r="R53" s="153" t="e">
        <f t="shared" ca="1" si="22"/>
        <v>#VALUE!</v>
      </c>
      <c r="S53" s="119">
        <f t="shared" ref="S53:S55" si="139">(1-$S$6)*J53</f>
        <v>0.27499999999999991</v>
      </c>
      <c r="T53" s="115" t="e">
        <f>VLOOKUP(TRIM($F53),Reference!B:C,2,0)</f>
        <v>#VALUE!</v>
      </c>
      <c r="U53" s="170">
        <f t="shared" ref="U53:U55" ca="1" si="140">AC53</f>
        <v>0</v>
      </c>
      <c r="V53" s="120" t="str">
        <f t="shared" si="6"/>
        <v>TATAMOTORS22MAR550CE</v>
      </c>
      <c r="W53" s="158" t="e">
        <f>VLOOKUP($V53,Reference!BA:BD,4,0)</f>
        <v>#N/A</v>
      </c>
      <c r="X53" s="160">
        <f t="shared" ca="1" si="7"/>
        <v>0</v>
      </c>
      <c r="Y53" s="160">
        <f t="shared" ca="1" si="8"/>
        <v>0</v>
      </c>
      <c r="Z53" s="160">
        <f t="shared" ca="1" si="25"/>
        <v>0</v>
      </c>
      <c r="AA53" s="160">
        <f t="shared" ca="1" si="9"/>
        <v>0</v>
      </c>
      <c r="AB53" s="160">
        <f t="shared" ca="1" si="10"/>
        <v>0</v>
      </c>
      <c r="AC53" s="119">
        <f t="shared" ca="1" si="11"/>
        <v>0</v>
      </c>
      <c r="AD53" s="115">
        <f t="shared" ref="AD53:AD55" ca="1" si="141">(H53-TODAY())/365</f>
        <v>-1.4602739726027398</v>
      </c>
      <c r="AE53" s="115">
        <f t="shared" ref="AE53:AE55" si="142">IF(I53&lt;&gt;0,20,0)</f>
        <v>20</v>
      </c>
      <c r="AF53" s="115"/>
      <c r="AG53" s="115"/>
      <c r="AH53" s="115">
        <f t="shared" si="14"/>
        <v>3.9187500000000002</v>
      </c>
      <c r="AI53" s="115"/>
      <c r="AJ53" s="115">
        <f t="shared" si="15"/>
        <v>0</v>
      </c>
      <c r="AK53" s="115"/>
      <c r="AL53" s="142"/>
      <c r="AM53" s="153"/>
      <c r="AN53" s="153"/>
      <c r="AO53" s="153"/>
      <c r="AP53" s="153"/>
      <c r="AQ53" s="153"/>
      <c r="AR53" s="153"/>
      <c r="AS53" s="153"/>
      <c r="AT53" s="153"/>
      <c r="AU53" s="153"/>
      <c r="AV53" s="153"/>
      <c r="AW53" s="153"/>
      <c r="AX53" s="153"/>
      <c r="AY53" s="153"/>
      <c r="AZ53" s="153"/>
      <c r="BA53" s="153"/>
      <c r="BB53" s="153"/>
      <c r="BC53" s="153"/>
      <c r="BD53" s="153"/>
      <c r="BE53" s="153"/>
      <c r="BF53" s="153"/>
      <c r="BG53" s="153"/>
      <c r="BS53" s="13">
        <v>2</v>
      </c>
      <c r="BT53" s="123">
        <v>44491</v>
      </c>
      <c r="BU53" s="116" t="s">
        <v>8</v>
      </c>
      <c r="BV53" s="115" t="s">
        <v>482</v>
      </c>
      <c r="BW53" s="116" t="s">
        <v>502</v>
      </c>
      <c r="BX53" s="115">
        <v>18400</v>
      </c>
      <c r="BY53" s="115">
        <v>41.7</v>
      </c>
      <c r="BZ53" s="115">
        <v>47.945</v>
      </c>
      <c r="CA53" s="119">
        <v>-3216.6708800000001</v>
      </c>
      <c r="CB53" s="115">
        <v>1.1497601918465228</v>
      </c>
      <c r="CC53" s="115">
        <v>500</v>
      </c>
      <c r="CD53" s="115">
        <v>50</v>
      </c>
      <c r="CE53" s="119">
        <v>20850</v>
      </c>
    </row>
    <row r="54" spans="1:83" hidden="1">
      <c r="A54" s="13">
        <f t="shared" si="28"/>
        <v>47</v>
      </c>
      <c r="B54" s="123">
        <v>44617</v>
      </c>
      <c r="C54" s="116" t="s">
        <v>6</v>
      </c>
      <c r="D54" s="116">
        <v>1</v>
      </c>
      <c r="E54" s="115" t="s">
        <v>632</v>
      </c>
      <c r="F54" s="116" t="s">
        <v>130</v>
      </c>
      <c r="G54" s="115"/>
      <c r="H54" s="117">
        <v>44651</v>
      </c>
      <c r="I54" s="115">
        <v>6750</v>
      </c>
      <c r="J54" s="115">
        <v>218.05</v>
      </c>
      <c r="K54" s="115">
        <v>219.3</v>
      </c>
      <c r="L54" s="119">
        <f t="shared" ca="1" si="16"/>
        <v>0</v>
      </c>
      <c r="M54" s="119">
        <f t="shared" si="17"/>
        <v>8437.5</v>
      </c>
      <c r="N54" s="115">
        <f t="shared" si="136"/>
        <v>1.0057326301307039</v>
      </c>
      <c r="O54" s="156">
        <f t="shared" si="137"/>
        <v>163.53750000000002</v>
      </c>
      <c r="P54" s="160">
        <f t="shared" si="20"/>
        <v>1471837.5</v>
      </c>
      <c r="Q54" s="160" t="e">
        <f t="shared" si="138"/>
        <v>#N/A</v>
      </c>
      <c r="R54" s="153" t="e">
        <f t="shared" ca="1" si="22"/>
        <v>#VALUE!</v>
      </c>
      <c r="S54" s="119">
        <f t="shared" si="139"/>
        <v>21.804999999999996</v>
      </c>
      <c r="T54" s="115" t="e">
        <f>VLOOKUP(TRIM($F54),Reference!B:C,2,0)</f>
        <v>#VALUE!</v>
      </c>
      <c r="U54" s="170">
        <f t="shared" ca="1" si="140"/>
        <v>0</v>
      </c>
      <c r="V54" s="120" t="str">
        <f t="shared" si="6"/>
        <v>TATAPOWER22MARFUT</v>
      </c>
      <c r="W54" s="158" t="e">
        <f>VLOOKUP($V54,Reference!BA:BD,4,0)</f>
        <v>#N/A</v>
      </c>
      <c r="X54" s="160">
        <f t="shared" ca="1" si="7"/>
        <v>0</v>
      </c>
      <c r="Y54" s="160">
        <f t="shared" ca="1" si="8"/>
        <v>0</v>
      </c>
      <c r="Z54" s="160">
        <f t="shared" ca="1" si="25"/>
        <v>0</v>
      </c>
      <c r="AA54" s="160">
        <f t="shared" ca="1" si="9"/>
        <v>0</v>
      </c>
      <c r="AB54" s="160">
        <f t="shared" ca="1" si="10"/>
        <v>0</v>
      </c>
      <c r="AC54" s="119">
        <f t="shared" ca="1" si="11"/>
        <v>0</v>
      </c>
      <c r="AD54" s="115">
        <f t="shared" ca="1" si="141"/>
        <v>-1.4602739726027398</v>
      </c>
      <c r="AE54" s="115">
        <f t="shared" si="142"/>
        <v>20</v>
      </c>
      <c r="AF54" s="115"/>
      <c r="AG54" s="115"/>
      <c r="AH54" s="115">
        <f t="shared" si="14"/>
        <v>0</v>
      </c>
      <c r="AI54" s="115"/>
      <c r="AJ54" s="115">
        <f t="shared" si="15"/>
        <v>44.155124999999998</v>
      </c>
      <c r="AK54" s="115"/>
      <c r="AL54" s="142"/>
      <c r="AM54" s="153"/>
      <c r="AN54" s="153"/>
      <c r="AO54" s="153"/>
      <c r="AP54" s="153"/>
      <c r="AQ54" s="153"/>
      <c r="AR54" s="153"/>
      <c r="AS54" s="153"/>
      <c r="AT54" s="153"/>
      <c r="AU54" s="153"/>
      <c r="AV54" s="153"/>
      <c r="AW54" s="153"/>
      <c r="AX54" s="153"/>
      <c r="AY54" s="153"/>
      <c r="AZ54" s="153"/>
      <c r="BA54" s="153"/>
      <c r="BB54" s="153"/>
      <c r="BC54" s="153"/>
      <c r="BD54" s="153"/>
      <c r="BE54" s="153"/>
      <c r="BF54" s="153"/>
      <c r="BG54" s="153"/>
      <c r="BS54" s="13">
        <v>2</v>
      </c>
      <c r="BT54" s="123">
        <v>44491</v>
      </c>
      <c r="BU54" s="116" t="s">
        <v>8</v>
      </c>
      <c r="BV54" s="115" t="s">
        <v>482</v>
      </c>
      <c r="BW54" s="116" t="s">
        <v>502</v>
      </c>
      <c r="BX54" s="115">
        <v>18400</v>
      </c>
      <c r="BY54" s="115">
        <v>41.7</v>
      </c>
      <c r="BZ54" s="115">
        <v>47.945</v>
      </c>
      <c r="CA54" s="119">
        <v>-3216.6708800000001</v>
      </c>
      <c r="CB54" s="115">
        <v>1.1497601918465228</v>
      </c>
      <c r="CC54" s="115">
        <v>500</v>
      </c>
      <c r="CD54" s="115">
        <v>50</v>
      </c>
      <c r="CE54" s="119">
        <v>20850</v>
      </c>
    </row>
    <row r="55" spans="1:83" hidden="1">
      <c r="A55" s="13">
        <f t="shared" si="28"/>
        <v>48</v>
      </c>
      <c r="B55" s="123">
        <v>44617</v>
      </c>
      <c r="C55" s="116" t="s">
        <v>8</v>
      </c>
      <c r="D55" s="116">
        <v>1</v>
      </c>
      <c r="E55" s="115" t="s">
        <v>482</v>
      </c>
      <c r="F55" s="116" t="s">
        <v>130</v>
      </c>
      <c r="G55" s="115">
        <v>200</v>
      </c>
      <c r="H55" s="117">
        <v>44651</v>
      </c>
      <c r="I55" s="115">
        <v>6750</v>
      </c>
      <c r="J55" s="115">
        <v>3.65</v>
      </c>
      <c r="K55" s="115">
        <v>2.85</v>
      </c>
      <c r="L55" s="119">
        <f t="shared" ca="1" si="16"/>
        <v>0</v>
      </c>
      <c r="M55" s="119">
        <f t="shared" si="17"/>
        <v>5399.9999999999991</v>
      </c>
      <c r="N55" s="115">
        <f t="shared" si="136"/>
        <v>0.78082191780821919</v>
      </c>
      <c r="O55" s="156">
        <f t="shared" si="137"/>
        <v>4.5625</v>
      </c>
      <c r="P55" s="160">
        <f t="shared" si="20"/>
        <v>24637.5</v>
      </c>
      <c r="Q55" s="160" t="e">
        <f t="shared" si="138"/>
        <v>#N/A</v>
      </c>
      <c r="R55" s="153" t="e">
        <f t="shared" ca="1" si="22"/>
        <v>#VALUE!</v>
      </c>
      <c r="S55" s="119">
        <f t="shared" si="139"/>
        <v>0.36499999999999994</v>
      </c>
      <c r="T55" s="115" t="e">
        <f>VLOOKUP(TRIM($F55),Reference!B:C,2,0)</f>
        <v>#VALUE!</v>
      </c>
      <c r="U55" s="170">
        <f t="shared" ca="1" si="140"/>
        <v>0</v>
      </c>
      <c r="V55" s="120" t="str">
        <f t="shared" si="6"/>
        <v>TATAPOWER22MAR200PE</v>
      </c>
      <c r="W55" s="158" t="e">
        <f>VLOOKUP($V55,Reference!BA:BD,4,0)</f>
        <v>#N/A</v>
      </c>
      <c r="X55" s="160">
        <f t="shared" ca="1" si="7"/>
        <v>0</v>
      </c>
      <c r="Y55" s="160">
        <f t="shared" ca="1" si="8"/>
        <v>0</v>
      </c>
      <c r="Z55" s="160">
        <f t="shared" ca="1" si="25"/>
        <v>0</v>
      </c>
      <c r="AA55" s="160">
        <f t="shared" ca="1" si="9"/>
        <v>0</v>
      </c>
      <c r="AB55" s="160">
        <f t="shared" ca="1" si="10"/>
        <v>0</v>
      </c>
      <c r="AC55" s="119">
        <f t="shared" ca="1" si="11"/>
        <v>0</v>
      </c>
      <c r="AD55" s="115">
        <f t="shared" ca="1" si="141"/>
        <v>-1.4602739726027398</v>
      </c>
      <c r="AE55" s="115">
        <f t="shared" si="142"/>
        <v>20</v>
      </c>
      <c r="AF55" s="115"/>
      <c r="AG55" s="115"/>
      <c r="AH55" s="115">
        <f t="shared" si="14"/>
        <v>12.31875</v>
      </c>
      <c r="AI55" s="115"/>
      <c r="AJ55" s="115">
        <f t="shared" si="15"/>
        <v>0</v>
      </c>
      <c r="AK55" s="115"/>
      <c r="AL55" s="142"/>
      <c r="AM55" s="153"/>
      <c r="AN55" s="153"/>
      <c r="AO55" s="153"/>
      <c r="AP55" s="153"/>
      <c r="AQ55" s="153"/>
      <c r="AR55" s="153"/>
      <c r="AS55" s="153"/>
      <c r="AT55" s="153"/>
      <c r="AU55" s="153"/>
      <c r="AV55" s="153"/>
      <c r="AW55" s="153"/>
      <c r="AX55" s="153"/>
      <c r="AY55" s="153"/>
      <c r="AZ55" s="153"/>
      <c r="BA55" s="153"/>
      <c r="BB55" s="153"/>
      <c r="BC55" s="153"/>
      <c r="BD55" s="153"/>
      <c r="BE55" s="153"/>
      <c r="BF55" s="153"/>
      <c r="BG55" s="153"/>
      <c r="BS55" s="13">
        <v>2</v>
      </c>
      <c r="BT55" s="123">
        <v>44491</v>
      </c>
      <c r="BU55" s="116" t="s">
        <v>8</v>
      </c>
      <c r="BV55" s="115" t="s">
        <v>482</v>
      </c>
      <c r="BW55" s="116" t="s">
        <v>502</v>
      </c>
      <c r="BX55" s="115">
        <v>18400</v>
      </c>
      <c r="BY55" s="115">
        <v>41.7</v>
      </c>
      <c r="BZ55" s="115">
        <v>47.945</v>
      </c>
      <c r="CA55" s="119">
        <v>-3216.6708800000001</v>
      </c>
      <c r="CB55" s="115">
        <v>1.1497601918465228</v>
      </c>
      <c r="CC55" s="115">
        <v>500</v>
      </c>
      <c r="CD55" s="115">
        <v>50</v>
      </c>
      <c r="CE55" s="119">
        <v>20850</v>
      </c>
    </row>
    <row r="56" spans="1:83" hidden="1">
      <c r="A56" s="13">
        <f t="shared" si="28"/>
        <v>49</v>
      </c>
      <c r="B56" s="123">
        <v>44622</v>
      </c>
      <c r="C56" s="116" t="s">
        <v>6</v>
      </c>
      <c r="D56" s="116">
        <v>1</v>
      </c>
      <c r="E56" s="115" t="s">
        <v>632</v>
      </c>
      <c r="F56" s="116" t="s">
        <v>130</v>
      </c>
      <c r="G56" s="115"/>
      <c r="H56" s="117">
        <v>44651</v>
      </c>
      <c r="I56" s="115">
        <v>13500</v>
      </c>
      <c r="J56" s="115">
        <v>226</v>
      </c>
      <c r="K56" s="115">
        <v>227</v>
      </c>
      <c r="L56" s="119">
        <f t="shared" ca="1" si="16"/>
        <v>0</v>
      </c>
      <c r="M56" s="119">
        <f t="shared" si="17"/>
        <v>13500</v>
      </c>
      <c r="N56" s="115">
        <f t="shared" ref="N56:N57" si="143">K56/$J56</f>
        <v>1.0044247787610618</v>
      </c>
      <c r="O56" s="156">
        <f t="shared" ref="O56:O57" si="144">J56*(1+$O$6*IF(C56="B",-1,1))</f>
        <v>169.5</v>
      </c>
      <c r="P56" s="160">
        <f t="shared" si="20"/>
        <v>3051000</v>
      </c>
      <c r="Q56" s="160" t="e">
        <f t="shared" ref="Q56:Q57" si="145">(W56-J56)*I56*IF(C56="B",1,-1)*IF(K56=0,1,0)</f>
        <v>#N/A</v>
      </c>
      <c r="R56" s="153" t="e">
        <f t="shared" ca="1" si="22"/>
        <v>#VALUE!</v>
      </c>
      <c r="S56" s="119">
        <f t="shared" ref="S56:S57" si="146">(1-$S$6)*J56</f>
        <v>22.599999999999994</v>
      </c>
      <c r="T56" s="115" t="e">
        <f>VLOOKUP(TRIM($F56),Reference!B:C,2,0)</f>
        <v>#VALUE!</v>
      </c>
      <c r="U56" s="170">
        <f t="shared" ref="U56:U57" ca="1" si="147">AC56</f>
        <v>0</v>
      </c>
      <c r="V56" s="120" t="str">
        <f t="shared" si="6"/>
        <v>TATAPOWER22MARFUT</v>
      </c>
      <c r="W56" s="158" t="e">
        <f>VLOOKUP($V56,Reference!BA:BD,4,0)</f>
        <v>#N/A</v>
      </c>
      <c r="X56" s="160">
        <f t="shared" ca="1" si="7"/>
        <v>0</v>
      </c>
      <c r="Y56" s="160">
        <f t="shared" ca="1" si="8"/>
        <v>0</v>
      </c>
      <c r="Z56" s="160">
        <f t="shared" ca="1" si="25"/>
        <v>0</v>
      </c>
      <c r="AA56" s="160">
        <f t="shared" ca="1" si="9"/>
        <v>0</v>
      </c>
      <c r="AB56" s="160">
        <f t="shared" ca="1" si="10"/>
        <v>0</v>
      </c>
      <c r="AC56" s="119">
        <f t="shared" ca="1" si="11"/>
        <v>0</v>
      </c>
      <c r="AD56" s="115">
        <f t="shared" ref="AD56:AD57" ca="1" si="148">(H56-TODAY())/365</f>
        <v>-1.4602739726027398</v>
      </c>
      <c r="AE56" s="115">
        <f t="shared" ref="AE56:AE57" si="149">IF(I56&lt;&gt;0,20,0)</f>
        <v>20</v>
      </c>
      <c r="AF56" s="115"/>
      <c r="AG56" s="115"/>
      <c r="AH56" s="115">
        <f t="shared" si="14"/>
        <v>0</v>
      </c>
      <c r="AI56" s="115"/>
      <c r="AJ56" s="115">
        <f t="shared" si="15"/>
        <v>91.53</v>
      </c>
      <c r="AK56" s="115"/>
      <c r="AL56" s="142"/>
      <c r="AM56" s="153"/>
      <c r="AN56" s="153"/>
      <c r="AO56" s="153"/>
      <c r="AP56" s="153"/>
      <c r="AQ56" s="153"/>
      <c r="AR56" s="153"/>
      <c r="AS56" s="153"/>
      <c r="AT56" s="153"/>
      <c r="AU56" s="153"/>
      <c r="AV56" s="153"/>
      <c r="AW56" s="153"/>
      <c r="AX56" s="153"/>
      <c r="AY56" s="153"/>
      <c r="AZ56" s="153"/>
      <c r="BA56" s="153"/>
      <c r="BB56" s="153"/>
      <c r="BC56" s="153"/>
      <c r="BD56" s="153"/>
      <c r="BE56" s="153"/>
      <c r="BF56" s="153"/>
      <c r="BG56" s="153"/>
      <c r="BS56" s="13">
        <v>2</v>
      </c>
      <c r="BT56" s="123">
        <v>44491</v>
      </c>
      <c r="BU56" s="116" t="s">
        <v>8</v>
      </c>
      <c r="BV56" s="115" t="s">
        <v>482</v>
      </c>
      <c r="BW56" s="116" t="s">
        <v>502</v>
      </c>
      <c r="BX56" s="115">
        <v>18400</v>
      </c>
      <c r="BY56" s="115">
        <v>41.7</v>
      </c>
      <c r="BZ56" s="115">
        <v>47.945</v>
      </c>
      <c r="CA56" s="119">
        <v>-3216.6708800000001</v>
      </c>
      <c r="CB56" s="115">
        <v>1.1497601918465228</v>
      </c>
      <c r="CC56" s="115">
        <v>500</v>
      </c>
      <c r="CD56" s="115">
        <v>50</v>
      </c>
      <c r="CE56" s="119">
        <v>20850</v>
      </c>
    </row>
    <row r="57" spans="1:83" hidden="1">
      <c r="A57" s="13">
        <f t="shared" si="28"/>
        <v>50</v>
      </c>
      <c r="B57" s="123">
        <v>44622</v>
      </c>
      <c r="C57" s="116" t="s">
        <v>8</v>
      </c>
      <c r="D57" s="116">
        <v>1</v>
      </c>
      <c r="E57" s="115" t="s">
        <v>481</v>
      </c>
      <c r="F57" s="116" t="s">
        <v>130</v>
      </c>
      <c r="G57" s="115">
        <v>250</v>
      </c>
      <c r="H57" s="117">
        <v>44651</v>
      </c>
      <c r="I57" s="115">
        <v>6750</v>
      </c>
      <c r="J57" s="115">
        <v>3.2</v>
      </c>
      <c r="K57" s="115">
        <v>2.1</v>
      </c>
      <c r="L57" s="119">
        <f t="shared" ca="1" si="16"/>
        <v>0</v>
      </c>
      <c r="M57" s="119">
        <f t="shared" si="17"/>
        <v>7425.0000000000009</v>
      </c>
      <c r="N57" s="115">
        <f t="shared" si="143"/>
        <v>0.65625</v>
      </c>
      <c r="O57" s="156">
        <f t="shared" si="144"/>
        <v>4</v>
      </c>
      <c r="P57" s="160">
        <f t="shared" si="20"/>
        <v>21600</v>
      </c>
      <c r="Q57" s="160" t="e">
        <f t="shared" si="145"/>
        <v>#N/A</v>
      </c>
      <c r="R57" s="153" t="e">
        <f t="shared" ca="1" si="22"/>
        <v>#VALUE!</v>
      </c>
      <c r="S57" s="119">
        <f t="shared" si="146"/>
        <v>0.31999999999999995</v>
      </c>
      <c r="T57" s="115" t="e">
        <f>VLOOKUP(TRIM($F57),Reference!B:C,2,0)</f>
        <v>#VALUE!</v>
      </c>
      <c r="U57" s="170">
        <f t="shared" ca="1" si="147"/>
        <v>0</v>
      </c>
      <c r="V57" s="120" t="str">
        <f t="shared" si="6"/>
        <v>TATAPOWER22MAR250CE</v>
      </c>
      <c r="W57" s="158" t="e">
        <f>VLOOKUP($V57,Reference!BA:BD,4,0)</f>
        <v>#N/A</v>
      </c>
      <c r="X57" s="160">
        <f t="shared" ca="1" si="7"/>
        <v>0</v>
      </c>
      <c r="Y57" s="160">
        <f t="shared" ca="1" si="8"/>
        <v>0</v>
      </c>
      <c r="Z57" s="160">
        <f t="shared" ca="1" si="25"/>
        <v>0</v>
      </c>
      <c r="AA57" s="160">
        <f t="shared" ca="1" si="9"/>
        <v>0</v>
      </c>
      <c r="AB57" s="160">
        <f t="shared" ca="1" si="10"/>
        <v>0</v>
      </c>
      <c r="AC57" s="119">
        <f t="shared" ca="1" si="11"/>
        <v>0</v>
      </c>
      <c r="AD57" s="115">
        <f t="shared" ca="1" si="148"/>
        <v>-1.4602739726027398</v>
      </c>
      <c r="AE57" s="115">
        <f t="shared" si="149"/>
        <v>20</v>
      </c>
      <c r="AF57" s="115"/>
      <c r="AG57" s="115"/>
      <c r="AH57" s="115">
        <f t="shared" si="14"/>
        <v>10.8</v>
      </c>
      <c r="AI57" s="115"/>
      <c r="AJ57" s="115">
        <f t="shared" si="15"/>
        <v>0</v>
      </c>
      <c r="AK57" s="115"/>
      <c r="AL57" s="142"/>
      <c r="AM57" s="153"/>
      <c r="AN57" s="153"/>
      <c r="AO57" s="153"/>
      <c r="AP57" s="153"/>
      <c r="AQ57" s="153"/>
      <c r="AR57" s="153"/>
      <c r="AS57" s="153"/>
      <c r="AT57" s="153"/>
      <c r="AU57" s="153"/>
      <c r="AV57" s="153"/>
      <c r="AW57" s="153"/>
      <c r="AX57" s="153"/>
      <c r="AY57" s="153"/>
      <c r="AZ57" s="153"/>
      <c r="BA57" s="153"/>
      <c r="BB57" s="153"/>
      <c r="BC57" s="153"/>
      <c r="BD57" s="153"/>
      <c r="BE57" s="153"/>
      <c r="BF57" s="153"/>
      <c r="BG57" s="153"/>
      <c r="BS57" s="13">
        <v>2</v>
      </c>
      <c r="BT57" s="123">
        <v>44491</v>
      </c>
      <c r="BU57" s="116" t="s">
        <v>8</v>
      </c>
      <c r="BV57" s="115" t="s">
        <v>482</v>
      </c>
      <c r="BW57" s="116" t="s">
        <v>502</v>
      </c>
      <c r="BX57" s="115">
        <v>18400</v>
      </c>
      <c r="BY57" s="115">
        <v>41.7</v>
      </c>
      <c r="BZ57" s="115">
        <v>47.945</v>
      </c>
      <c r="CA57" s="119">
        <v>-3216.6708800000001</v>
      </c>
      <c r="CB57" s="115">
        <v>1.1497601918465228</v>
      </c>
      <c r="CC57" s="115">
        <v>500</v>
      </c>
      <c r="CD57" s="115">
        <v>50</v>
      </c>
      <c r="CE57" s="119">
        <v>20850</v>
      </c>
    </row>
    <row r="58" spans="1:83" hidden="1">
      <c r="A58" s="13">
        <f t="shared" si="28"/>
        <v>51</v>
      </c>
      <c r="B58" s="123">
        <v>44622</v>
      </c>
      <c r="C58" s="116" t="s">
        <v>6</v>
      </c>
      <c r="D58" s="116">
        <v>1</v>
      </c>
      <c r="E58" s="115" t="s">
        <v>632</v>
      </c>
      <c r="F58" s="116" t="s">
        <v>130</v>
      </c>
      <c r="G58" s="115"/>
      <c r="H58" s="117">
        <v>44651</v>
      </c>
      <c r="I58" s="115">
        <v>6750</v>
      </c>
      <c r="J58" s="115">
        <v>225.7</v>
      </c>
      <c r="K58" s="115">
        <v>227</v>
      </c>
      <c r="L58" s="119">
        <f t="shared" ca="1" si="16"/>
        <v>0</v>
      </c>
      <c r="M58" s="119">
        <f t="shared" si="17"/>
        <v>8775.0000000000764</v>
      </c>
      <c r="N58" s="115">
        <f t="shared" ref="N58:N59" si="150">K58/$J58</f>
        <v>1.0057598582188747</v>
      </c>
      <c r="O58" s="156">
        <f t="shared" ref="O58:O59" si="151">J58*(1+$O$6*IF(C58="B",-1,1))</f>
        <v>169.27499999999998</v>
      </c>
      <c r="P58" s="160">
        <f t="shared" si="20"/>
        <v>1523475</v>
      </c>
      <c r="Q58" s="160" t="e">
        <f t="shared" ref="Q58:Q59" si="152">(W58-J58)*I58*IF(C58="B",1,-1)*IF(K58=0,1,0)</f>
        <v>#N/A</v>
      </c>
      <c r="R58" s="153" t="e">
        <f t="shared" ca="1" si="22"/>
        <v>#VALUE!</v>
      </c>
      <c r="S58" s="119">
        <f t="shared" ref="S58:S59" si="153">(1-$S$6)*J58</f>
        <v>22.569999999999993</v>
      </c>
      <c r="T58" s="115" t="e">
        <f>VLOOKUP(TRIM($F58),Reference!B:C,2,0)</f>
        <v>#VALUE!</v>
      </c>
      <c r="U58" s="170">
        <f t="shared" ref="U58:U59" ca="1" si="154">AC58</f>
        <v>0</v>
      </c>
      <c r="V58" s="120" t="str">
        <f t="shared" si="6"/>
        <v>TATAPOWER22MARFUT</v>
      </c>
      <c r="W58" s="158" t="e">
        <f>VLOOKUP($V58,Reference!BA:BD,4,0)</f>
        <v>#N/A</v>
      </c>
      <c r="X58" s="160">
        <f t="shared" ca="1" si="7"/>
        <v>0</v>
      </c>
      <c r="Y58" s="160">
        <f t="shared" ca="1" si="8"/>
        <v>0</v>
      </c>
      <c r="Z58" s="160">
        <f t="shared" ca="1" si="25"/>
        <v>0</v>
      </c>
      <c r="AA58" s="160">
        <f t="shared" ca="1" si="9"/>
        <v>0</v>
      </c>
      <c r="AB58" s="160">
        <f t="shared" ca="1" si="10"/>
        <v>0</v>
      </c>
      <c r="AC58" s="119">
        <f t="shared" ca="1" si="11"/>
        <v>0</v>
      </c>
      <c r="AD58" s="115">
        <f t="shared" ref="AD58:AD59" ca="1" si="155">(H58-TODAY())/365</f>
        <v>-1.4602739726027398</v>
      </c>
      <c r="AE58" s="115">
        <f t="shared" ref="AE58:AE59" si="156">IF(I58&lt;&gt;0,20,0)</f>
        <v>20</v>
      </c>
      <c r="AF58" s="115"/>
      <c r="AG58" s="115"/>
      <c r="AH58" s="115">
        <f t="shared" si="14"/>
        <v>0</v>
      </c>
      <c r="AI58" s="115"/>
      <c r="AJ58" s="115">
        <f t="shared" si="15"/>
        <v>45.704250000000002</v>
      </c>
      <c r="AK58" s="115"/>
      <c r="AL58" s="142"/>
      <c r="AM58" s="153"/>
      <c r="AN58" s="153"/>
      <c r="AO58" s="153"/>
      <c r="AP58" s="153"/>
      <c r="AQ58" s="153"/>
      <c r="AR58" s="153"/>
      <c r="AS58" s="153"/>
      <c r="AT58" s="153"/>
      <c r="AU58" s="153"/>
      <c r="AV58" s="153"/>
      <c r="AW58" s="153"/>
      <c r="AX58" s="153"/>
      <c r="AY58" s="153"/>
      <c r="AZ58" s="153"/>
      <c r="BA58" s="153"/>
      <c r="BB58" s="153"/>
      <c r="BC58" s="153"/>
      <c r="BD58" s="153"/>
      <c r="BE58" s="153"/>
      <c r="BF58" s="153"/>
      <c r="BG58" s="153"/>
      <c r="BS58" s="13">
        <v>2</v>
      </c>
      <c r="BT58" s="123">
        <v>44491</v>
      </c>
      <c r="BU58" s="116" t="s">
        <v>8</v>
      </c>
      <c r="BV58" s="115" t="s">
        <v>482</v>
      </c>
      <c r="BW58" s="116" t="s">
        <v>502</v>
      </c>
      <c r="BX58" s="115">
        <v>18400</v>
      </c>
      <c r="BY58" s="115">
        <v>41.7</v>
      </c>
      <c r="BZ58" s="115">
        <v>47.945</v>
      </c>
      <c r="CA58" s="119">
        <v>-3216.6708800000001</v>
      </c>
      <c r="CB58" s="115">
        <v>1.1497601918465228</v>
      </c>
      <c r="CC58" s="115">
        <v>500</v>
      </c>
      <c r="CD58" s="115">
        <v>50</v>
      </c>
      <c r="CE58" s="119">
        <v>20850</v>
      </c>
    </row>
    <row r="59" spans="1:83" hidden="1">
      <c r="A59" s="13">
        <f t="shared" si="28"/>
        <v>52</v>
      </c>
      <c r="B59" s="123">
        <v>44616</v>
      </c>
      <c r="C59" s="116" t="s">
        <v>8</v>
      </c>
      <c r="D59" s="116">
        <v>1</v>
      </c>
      <c r="E59" s="115" t="s">
        <v>481</v>
      </c>
      <c r="F59" s="116" t="s">
        <v>130</v>
      </c>
      <c r="G59" s="115">
        <v>235</v>
      </c>
      <c r="H59" s="117">
        <v>44651</v>
      </c>
      <c r="I59" s="115">
        <v>6750</v>
      </c>
      <c r="J59" s="115">
        <v>2.75</v>
      </c>
      <c r="K59" s="115">
        <v>6.9</v>
      </c>
      <c r="L59" s="119">
        <f t="shared" ca="1" si="16"/>
        <v>0</v>
      </c>
      <c r="M59" s="119">
        <f t="shared" si="17"/>
        <v>-28012.500000000004</v>
      </c>
      <c r="N59" s="115">
        <f t="shared" si="150"/>
        <v>2.5090909090909093</v>
      </c>
      <c r="O59" s="156">
        <f t="shared" si="151"/>
        <v>3.4375</v>
      </c>
      <c r="P59" s="160">
        <f t="shared" si="20"/>
        <v>18562.5</v>
      </c>
      <c r="Q59" s="160" t="e">
        <f t="shared" si="152"/>
        <v>#N/A</v>
      </c>
      <c r="R59" s="153" t="e">
        <f t="shared" ca="1" si="22"/>
        <v>#VALUE!</v>
      </c>
      <c r="S59" s="119">
        <f t="shared" si="153"/>
        <v>0.27499999999999991</v>
      </c>
      <c r="T59" s="115" t="e">
        <f>VLOOKUP(TRIM($F59),Reference!B:C,2,0)</f>
        <v>#VALUE!</v>
      </c>
      <c r="U59" s="170">
        <f t="shared" ca="1" si="154"/>
        <v>0</v>
      </c>
      <c r="V59" s="120" t="str">
        <f t="shared" si="6"/>
        <v>TATAPOWER22MAR235CE</v>
      </c>
      <c r="W59" s="158" t="e">
        <f>VLOOKUP($V59,Reference!BA:BD,4,0)</f>
        <v>#N/A</v>
      </c>
      <c r="X59" s="160">
        <f t="shared" ca="1" si="7"/>
        <v>0</v>
      </c>
      <c r="Y59" s="160">
        <f t="shared" ca="1" si="8"/>
        <v>0</v>
      </c>
      <c r="Z59" s="160">
        <f t="shared" ca="1" si="25"/>
        <v>0</v>
      </c>
      <c r="AA59" s="160">
        <f t="shared" ca="1" si="9"/>
        <v>0</v>
      </c>
      <c r="AB59" s="160">
        <f t="shared" ca="1" si="10"/>
        <v>0</v>
      </c>
      <c r="AC59" s="119">
        <f t="shared" ca="1" si="11"/>
        <v>0</v>
      </c>
      <c r="AD59" s="115">
        <f t="shared" ca="1" si="155"/>
        <v>-1.4602739726027398</v>
      </c>
      <c r="AE59" s="115">
        <f t="shared" si="156"/>
        <v>20</v>
      </c>
      <c r="AF59" s="115"/>
      <c r="AG59" s="115"/>
      <c r="AH59" s="115">
        <f t="shared" si="14"/>
        <v>9.28125</v>
      </c>
      <c r="AI59" s="115"/>
      <c r="AJ59" s="115">
        <f t="shared" si="15"/>
        <v>0</v>
      </c>
      <c r="AK59" s="115"/>
      <c r="AL59" s="142"/>
      <c r="AM59" s="153"/>
      <c r="AN59" s="153"/>
      <c r="AO59" s="153"/>
      <c r="AP59" s="153"/>
      <c r="AQ59" s="153"/>
      <c r="AR59" s="153"/>
      <c r="AS59" s="153"/>
      <c r="AT59" s="153"/>
      <c r="AU59" s="153"/>
      <c r="AV59" s="153"/>
      <c r="AW59" s="153"/>
      <c r="AX59" s="153"/>
      <c r="AY59" s="153"/>
      <c r="AZ59" s="153"/>
      <c r="BA59" s="153"/>
      <c r="BB59" s="153"/>
      <c r="BC59" s="153"/>
      <c r="BD59" s="153"/>
      <c r="BE59" s="153"/>
      <c r="BF59" s="153"/>
      <c r="BG59" s="153"/>
      <c r="BS59" s="13">
        <v>2</v>
      </c>
      <c r="BT59" s="123">
        <v>44491</v>
      </c>
      <c r="BU59" s="116" t="s">
        <v>8</v>
      </c>
      <c r="BV59" s="115" t="s">
        <v>482</v>
      </c>
      <c r="BW59" s="116" t="s">
        <v>502</v>
      </c>
      <c r="BX59" s="115">
        <v>18400</v>
      </c>
      <c r="BY59" s="115">
        <v>41.7</v>
      </c>
      <c r="BZ59" s="115">
        <v>47.945</v>
      </c>
      <c r="CA59" s="119">
        <v>-3216.6708800000001</v>
      </c>
      <c r="CB59" s="115">
        <v>1.1497601918465228</v>
      </c>
      <c r="CC59" s="115">
        <v>500</v>
      </c>
      <c r="CD59" s="115">
        <v>50</v>
      </c>
      <c r="CE59" s="119">
        <v>20850</v>
      </c>
    </row>
    <row r="60" spans="1:83" hidden="1">
      <c r="A60" s="13">
        <f t="shared" si="28"/>
        <v>53</v>
      </c>
      <c r="B60" s="123">
        <v>44622</v>
      </c>
      <c r="C60" s="116" t="s">
        <v>6</v>
      </c>
      <c r="D60" s="116">
        <v>1</v>
      </c>
      <c r="E60" s="115" t="s">
        <v>632</v>
      </c>
      <c r="F60" s="116" t="s">
        <v>506</v>
      </c>
      <c r="G60" s="115"/>
      <c r="H60" s="117">
        <v>44651</v>
      </c>
      <c r="I60" s="115">
        <v>25</v>
      </c>
      <c r="J60" s="115">
        <v>35149</v>
      </c>
      <c r="K60" s="115">
        <v>35700</v>
      </c>
      <c r="L60" s="119">
        <f t="shared" ca="1" si="16"/>
        <v>0</v>
      </c>
      <c r="M60" s="119">
        <f t="shared" si="17"/>
        <v>13775</v>
      </c>
      <c r="N60" s="115">
        <f t="shared" ref="N60:N62" si="157">K60/$J60</f>
        <v>1.0156761216535322</v>
      </c>
      <c r="O60" s="156">
        <f t="shared" ref="O60:O62" si="158">J60*(1+$O$6*IF(C60="B",-1,1))</f>
        <v>26361.75</v>
      </c>
      <c r="P60" s="160">
        <f t="shared" si="20"/>
        <v>878725</v>
      </c>
      <c r="Q60" s="160" t="e">
        <f t="shared" ref="Q60:Q62" si="159">(W60-J60)*I60*IF(C60="B",1,-1)*IF(K60=0,1,0)</f>
        <v>#N/A</v>
      </c>
      <c r="R60" s="153" t="e">
        <f t="shared" ca="1" si="22"/>
        <v>#VALUE!</v>
      </c>
      <c r="S60" s="119">
        <f t="shared" ref="S60:S62" si="160">(1-$S$6)*J60</f>
        <v>3514.8999999999992</v>
      </c>
      <c r="T60" s="115" t="str">
        <f>VLOOKUP(TRIM($F60),Reference!B:C,2,0)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60" s="170">
        <f t="shared" ref="U60:U62" ca="1" si="161">AC60</f>
        <v>0</v>
      </c>
      <c r="V60" s="120" t="str">
        <f t="shared" si="6"/>
        <v>BANKNIFTY22MARFUT</v>
      </c>
      <c r="W60" s="158" t="e">
        <f>VLOOKUP($V60,Reference!BA:BD,4,0)</f>
        <v>#N/A</v>
      </c>
      <c r="X60" s="160">
        <f t="shared" ca="1" si="7"/>
        <v>0</v>
      </c>
      <c r="Y60" s="160">
        <f t="shared" ca="1" si="8"/>
        <v>0</v>
      </c>
      <c r="Z60" s="160">
        <f t="shared" ca="1" si="25"/>
        <v>0</v>
      </c>
      <c r="AA60" s="160">
        <f t="shared" ca="1" si="9"/>
        <v>0</v>
      </c>
      <c r="AB60" s="160">
        <f t="shared" ca="1" si="10"/>
        <v>0</v>
      </c>
      <c r="AC60" s="119">
        <f t="shared" ca="1" si="11"/>
        <v>0</v>
      </c>
      <c r="AD60" s="115">
        <f t="shared" ref="AD60:AD62" ca="1" si="162">(H60-TODAY())/365</f>
        <v>-1.4602739726027398</v>
      </c>
      <c r="AE60" s="115">
        <f t="shared" ref="AE60:AE62" si="163">IF(I60&lt;&gt;0,20,0)</f>
        <v>20</v>
      </c>
      <c r="AF60" s="115"/>
      <c r="AG60" s="115"/>
      <c r="AH60" s="115">
        <f t="shared" si="14"/>
        <v>0</v>
      </c>
      <c r="AI60" s="115"/>
      <c r="AJ60" s="115">
        <f t="shared" si="15"/>
        <v>26.361750000000001</v>
      </c>
      <c r="AK60" s="115"/>
      <c r="AL60" s="142"/>
      <c r="AM60" s="153"/>
      <c r="AN60" s="153"/>
      <c r="AO60" s="153"/>
      <c r="AP60" s="153"/>
      <c r="AQ60" s="153"/>
      <c r="AR60" s="153"/>
      <c r="AS60" s="153"/>
      <c r="AT60" s="153"/>
      <c r="AU60" s="153"/>
      <c r="AV60" s="153"/>
      <c r="AW60" s="153"/>
      <c r="AX60" s="153"/>
      <c r="AY60" s="153"/>
      <c r="AZ60" s="153"/>
      <c r="BA60" s="153"/>
      <c r="BB60" s="153"/>
      <c r="BC60" s="153"/>
      <c r="BD60" s="153"/>
      <c r="BE60" s="153"/>
      <c r="BF60" s="153"/>
      <c r="BG60" s="153"/>
      <c r="BS60" s="13">
        <v>2</v>
      </c>
      <c r="BT60" s="123">
        <v>44491</v>
      </c>
      <c r="BU60" s="116" t="s">
        <v>8</v>
      </c>
      <c r="BV60" s="115" t="s">
        <v>482</v>
      </c>
      <c r="BW60" s="116" t="s">
        <v>502</v>
      </c>
      <c r="BX60" s="115">
        <v>18400</v>
      </c>
      <c r="BY60" s="115">
        <v>41.7</v>
      </c>
      <c r="BZ60" s="115">
        <v>47.945</v>
      </c>
      <c r="CA60" s="119">
        <v>-3216.6708800000001</v>
      </c>
      <c r="CB60" s="115">
        <v>1.1497601918465228</v>
      </c>
      <c r="CC60" s="115">
        <v>500</v>
      </c>
      <c r="CD60" s="115">
        <v>50</v>
      </c>
      <c r="CE60" s="119">
        <v>20850</v>
      </c>
    </row>
    <row r="61" spans="1:83" hidden="1">
      <c r="A61" s="13">
        <f t="shared" si="28"/>
        <v>54</v>
      </c>
      <c r="B61" s="123">
        <v>44622</v>
      </c>
      <c r="C61" s="116" t="s">
        <v>8</v>
      </c>
      <c r="D61" s="116">
        <v>1</v>
      </c>
      <c r="E61" s="115" t="s">
        <v>481</v>
      </c>
      <c r="F61" s="116" t="s">
        <v>506</v>
      </c>
      <c r="G61" s="115">
        <v>38500</v>
      </c>
      <c r="H61" s="117">
        <v>44651</v>
      </c>
      <c r="I61" s="115">
        <v>25</v>
      </c>
      <c r="J61" s="115">
        <v>243.75</v>
      </c>
      <c r="K61" s="115">
        <v>2.5</v>
      </c>
      <c r="L61" s="119">
        <f t="shared" ca="1" si="16"/>
        <v>0</v>
      </c>
      <c r="M61" s="119">
        <f t="shared" si="17"/>
        <v>6031.25</v>
      </c>
      <c r="N61" s="115">
        <f t="shared" si="157"/>
        <v>1.0256410256410256E-2</v>
      </c>
      <c r="O61" s="156">
        <f t="shared" si="158"/>
        <v>304.6875</v>
      </c>
      <c r="P61" s="160">
        <f t="shared" si="20"/>
        <v>6093.75</v>
      </c>
      <c r="Q61" s="160" t="e">
        <f t="shared" si="159"/>
        <v>#N/A</v>
      </c>
      <c r="R61" s="153" t="e">
        <f t="shared" ca="1" si="22"/>
        <v>#VALUE!</v>
      </c>
      <c r="S61" s="119">
        <f t="shared" si="160"/>
        <v>24.374999999999993</v>
      </c>
      <c r="T61" s="115" t="str">
        <f>VLOOKUP(TRIM($F61),Reference!B:C,2,0)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61" s="120">
        <f t="shared" ca="1" si="161"/>
        <v>0</v>
      </c>
      <c r="V61" s="120" t="str">
        <f t="shared" si="6"/>
        <v>BANKNIFTY22MAR38500CE</v>
      </c>
      <c r="W61" s="158" t="e">
        <f>VLOOKUP($V61,Reference!BA:BD,4,0)</f>
        <v>#N/A</v>
      </c>
      <c r="X61" s="160">
        <f t="shared" ca="1" si="7"/>
        <v>0</v>
      </c>
      <c r="Y61" s="160">
        <f t="shared" ca="1" si="8"/>
        <v>0</v>
      </c>
      <c r="Z61" s="160">
        <f t="shared" ca="1" si="25"/>
        <v>0</v>
      </c>
      <c r="AA61" s="160">
        <f t="shared" ca="1" si="9"/>
        <v>0</v>
      </c>
      <c r="AB61" s="160">
        <f t="shared" ca="1" si="10"/>
        <v>0</v>
      </c>
      <c r="AC61" s="119">
        <f t="shared" ca="1" si="11"/>
        <v>0</v>
      </c>
      <c r="AD61" s="115">
        <f t="shared" ca="1" si="162"/>
        <v>-1.4602739726027398</v>
      </c>
      <c r="AE61" s="115">
        <f t="shared" si="163"/>
        <v>20</v>
      </c>
      <c r="AF61" s="115"/>
      <c r="AG61" s="115"/>
      <c r="AH61" s="115">
        <f t="shared" si="14"/>
        <v>3.046875</v>
      </c>
      <c r="AI61" s="115"/>
      <c r="AJ61" s="115">
        <f t="shared" si="15"/>
        <v>0</v>
      </c>
      <c r="AK61" s="115"/>
      <c r="AM61" s="154"/>
      <c r="AN61" s="154"/>
      <c r="AO61" s="154"/>
      <c r="AP61" s="154"/>
      <c r="AQ61" s="154"/>
      <c r="AR61" s="154"/>
      <c r="AS61" s="154"/>
      <c r="AT61" s="154"/>
      <c r="AU61" s="154"/>
      <c r="AV61" s="154"/>
      <c r="AW61" s="154"/>
      <c r="AX61" s="154"/>
      <c r="AY61" s="154"/>
      <c r="AZ61" s="154"/>
      <c r="BA61" s="154"/>
      <c r="BB61" s="154"/>
      <c r="BC61" s="154"/>
      <c r="BD61" s="154"/>
      <c r="BE61" s="154"/>
      <c r="BF61" s="154"/>
      <c r="BG61" s="154"/>
      <c r="BS61" s="11">
        <v>2</v>
      </c>
      <c r="BT61" s="11">
        <v>44491</v>
      </c>
      <c r="BU61" s="11" t="s">
        <v>8</v>
      </c>
      <c r="BV61" s="11" t="s">
        <v>482</v>
      </c>
      <c r="BW61" s="11" t="s">
        <v>502</v>
      </c>
      <c r="BX61" s="11">
        <v>18400</v>
      </c>
      <c r="BY61" s="11">
        <v>41.7</v>
      </c>
      <c r="BZ61" s="11">
        <v>47.945</v>
      </c>
      <c r="CA61" s="11">
        <v>-3216.6708800000001</v>
      </c>
      <c r="CB61" s="11">
        <v>1.1497601918465228</v>
      </c>
      <c r="CC61" s="11">
        <v>500</v>
      </c>
      <c r="CD61" s="11">
        <v>50</v>
      </c>
      <c r="CE61" s="11">
        <v>20850</v>
      </c>
    </row>
    <row r="62" spans="1:83" hidden="1">
      <c r="A62" s="13">
        <f t="shared" si="28"/>
        <v>55</v>
      </c>
      <c r="B62" s="123">
        <v>44622</v>
      </c>
      <c r="C62" s="116" t="s">
        <v>6</v>
      </c>
      <c r="D62" s="116">
        <v>1</v>
      </c>
      <c r="E62" s="115" t="s">
        <v>632</v>
      </c>
      <c r="F62" s="116" t="s">
        <v>130</v>
      </c>
      <c r="G62" s="115"/>
      <c r="H62" s="117">
        <v>44651</v>
      </c>
      <c r="I62" s="115">
        <v>6750</v>
      </c>
      <c r="J62" s="115">
        <v>226</v>
      </c>
      <c r="K62" s="115">
        <v>226.5</v>
      </c>
      <c r="L62" s="119">
        <f t="shared" ca="1" si="16"/>
        <v>0</v>
      </c>
      <c r="M62" s="119">
        <f t="shared" si="17"/>
        <v>3375</v>
      </c>
      <c r="N62" s="115">
        <f t="shared" si="157"/>
        <v>1.002212389380531</v>
      </c>
      <c r="O62" s="156">
        <f t="shared" si="158"/>
        <v>169.5</v>
      </c>
      <c r="P62" s="160">
        <f t="shared" si="20"/>
        <v>1525500</v>
      </c>
      <c r="Q62" s="160" t="e">
        <f t="shared" si="159"/>
        <v>#N/A</v>
      </c>
      <c r="R62" s="153" t="e">
        <f t="shared" ca="1" si="22"/>
        <v>#VALUE!</v>
      </c>
      <c r="S62" s="119">
        <f t="shared" si="160"/>
        <v>22.599999999999994</v>
      </c>
      <c r="T62" s="115" t="e">
        <f>VLOOKUP(TRIM($F62),Reference!B:C,2,0)</f>
        <v>#VALUE!</v>
      </c>
      <c r="U62" s="170">
        <f t="shared" ca="1" si="161"/>
        <v>0</v>
      </c>
      <c r="V62" s="120" t="str">
        <f t="shared" si="6"/>
        <v>TATAPOWER22MARFUT</v>
      </c>
      <c r="W62" s="158" t="e">
        <f>VLOOKUP($V62,Reference!BA:BD,4,0)</f>
        <v>#N/A</v>
      </c>
      <c r="X62" s="160">
        <f t="shared" ca="1" si="7"/>
        <v>0</v>
      </c>
      <c r="Y62" s="160">
        <f t="shared" ca="1" si="8"/>
        <v>0</v>
      </c>
      <c r="Z62" s="160">
        <f t="shared" ca="1" si="25"/>
        <v>0</v>
      </c>
      <c r="AA62" s="160">
        <f t="shared" ca="1" si="9"/>
        <v>0</v>
      </c>
      <c r="AB62" s="160">
        <f t="shared" ca="1" si="10"/>
        <v>0</v>
      </c>
      <c r="AC62" s="119">
        <f t="shared" ca="1" si="11"/>
        <v>0</v>
      </c>
      <c r="AD62" s="115">
        <f t="shared" ca="1" si="162"/>
        <v>-1.4602739726027398</v>
      </c>
      <c r="AE62" s="115">
        <f t="shared" si="163"/>
        <v>20</v>
      </c>
      <c r="AF62" s="115"/>
      <c r="AG62" s="115"/>
      <c r="AH62" s="115">
        <f t="shared" si="14"/>
        <v>0</v>
      </c>
      <c r="AI62" s="115"/>
      <c r="AJ62" s="115">
        <f t="shared" si="15"/>
        <v>45.765000000000001</v>
      </c>
      <c r="AK62" s="115"/>
      <c r="AL62" s="142"/>
      <c r="AM62" s="153"/>
      <c r="AN62" s="153"/>
      <c r="AO62" s="153"/>
      <c r="AP62" s="153"/>
      <c r="AQ62" s="153"/>
      <c r="AR62" s="153"/>
      <c r="AS62" s="153"/>
      <c r="AT62" s="153"/>
      <c r="AU62" s="153"/>
      <c r="AV62" s="153"/>
      <c r="AW62" s="153"/>
      <c r="AX62" s="153"/>
      <c r="AY62" s="153"/>
      <c r="AZ62" s="153"/>
      <c r="BA62" s="153"/>
      <c r="BB62" s="153"/>
      <c r="BC62" s="153"/>
      <c r="BD62" s="153"/>
      <c r="BE62" s="153"/>
      <c r="BF62" s="153"/>
      <c r="BG62" s="153"/>
      <c r="BS62" s="13">
        <v>2</v>
      </c>
      <c r="BT62" s="123">
        <v>44491</v>
      </c>
      <c r="BU62" s="116" t="s">
        <v>8</v>
      </c>
      <c r="BV62" s="115" t="s">
        <v>482</v>
      </c>
      <c r="BW62" s="116" t="s">
        <v>502</v>
      </c>
      <c r="BX62" s="115">
        <v>18400</v>
      </c>
      <c r="BY62" s="115">
        <v>41.7</v>
      </c>
      <c r="BZ62" s="115">
        <v>47.945</v>
      </c>
      <c r="CA62" s="119">
        <v>-3216.6708800000001</v>
      </c>
      <c r="CB62" s="115">
        <v>1.1497601918465228</v>
      </c>
      <c r="CC62" s="115">
        <v>500</v>
      </c>
      <c r="CD62" s="115">
        <v>50</v>
      </c>
      <c r="CE62" s="119">
        <v>20850</v>
      </c>
    </row>
    <row r="63" spans="1:83" hidden="1">
      <c r="A63" s="13">
        <f t="shared" si="28"/>
        <v>56</v>
      </c>
      <c r="B63" s="123">
        <v>44623</v>
      </c>
      <c r="C63" s="116" t="s">
        <v>6</v>
      </c>
      <c r="D63" s="116">
        <v>1</v>
      </c>
      <c r="E63" s="115" t="s">
        <v>632</v>
      </c>
      <c r="F63" s="116" t="s">
        <v>130</v>
      </c>
      <c r="G63" s="115"/>
      <c r="H63" s="117">
        <v>44651</v>
      </c>
      <c r="I63" s="115">
        <v>6750</v>
      </c>
      <c r="J63" s="115">
        <v>227</v>
      </c>
      <c r="K63" s="115">
        <v>228.6</v>
      </c>
      <c r="L63" s="119">
        <f t="shared" ca="1" si="16"/>
        <v>0</v>
      </c>
      <c r="M63" s="119">
        <f t="shared" si="17"/>
        <v>10799.999999999962</v>
      </c>
      <c r="N63" s="115">
        <f t="shared" ref="N63:N64" si="164">K63/$J63</f>
        <v>1.0070484581497796</v>
      </c>
      <c r="O63" s="156">
        <f t="shared" ref="O63:O64" si="165">J63*(1+$O$6*IF(C63="B",-1,1))</f>
        <v>170.25</v>
      </c>
      <c r="P63" s="160">
        <f t="shared" si="20"/>
        <v>1532250</v>
      </c>
      <c r="Q63" s="160" t="e">
        <f t="shared" ref="Q63:Q64" si="166">(W63-J63)*I63*IF(C63="B",1,-1)*IF(K63=0,1,0)</f>
        <v>#N/A</v>
      </c>
      <c r="R63" s="153" t="e">
        <f t="shared" ca="1" si="22"/>
        <v>#VALUE!</v>
      </c>
      <c r="S63" s="119">
        <f t="shared" ref="S63:S64" si="167">(1-$S$6)*J63</f>
        <v>22.699999999999996</v>
      </c>
      <c r="T63" s="115" t="e">
        <f>VLOOKUP(TRIM($F63),Reference!B:C,2,0)</f>
        <v>#VALUE!</v>
      </c>
      <c r="U63" s="170">
        <f t="shared" ref="U63:U64" ca="1" si="168">AC63</f>
        <v>0</v>
      </c>
      <c r="V63" s="120" t="str">
        <f t="shared" si="6"/>
        <v>TATAPOWER22MARFUT</v>
      </c>
      <c r="W63" s="158" t="e">
        <f>VLOOKUP($V63,Reference!BA:BD,4,0)</f>
        <v>#N/A</v>
      </c>
      <c r="X63" s="160">
        <f t="shared" ca="1" si="7"/>
        <v>0</v>
      </c>
      <c r="Y63" s="160">
        <f t="shared" ca="1" si="8"/>
        <v>0</v>
      </c>
      <c r="Z63" s="160">
        <f t="shared" ca="1" si="25"/>
        <v>0</v>
      </c>
      <c r="AA63" s="160">
        <f t="shared" ca="1" si="9"/>
        <v>0</v>
      </c>
      <c r="AB63" s="160">
        <f t="shared" ca="1" si="10"/>
        <v>0</v>
      </c>
      <c r="AC63" s="119">
        <f t="shared" ca="1" si="11"/>
        <v>0</v>
      </c>
      <c r="AD63" s="115">
        <f t="shared" ref="AD63:AD64" ca="1" si="169">(H63-TODAY())/365</f>
        <v>-1.4602739726027398</v>
      </c>
      <c r="AE63" s="115">
        <f t="shared" ref="AE63:AE64" si="170">IF(I63&lt;&gt;0,20,0)</f>
        <v>20</v>
      </c>
      <c r="AF63" s="115"/>
      <c r="AG63" s="115"/>
      <c r="AH63" s="115">
        <f t="shared" si="14"/>
        <v>0</v>
      </c>
      <c r="AI63" s="115"/>
      <c r="AJ63" s="115">
        <f t="shared" si="15"/>
        <v>45.967500000000001</v>
      </c>
      <c r="AK63" s="115"/>
      <c r="AL63" s="142"/>
      <c r="AM63" s="153"/>
      <c r="AN63" s="153"/>
      <c r="AO63" s="153"/>
      <c r="AP63" s="153"/>
      <c r="AQ63" s="153"/>
      <c r="AR63" s="153"/>
      <c r="AS63" s="153"/>
      <c r="AT63" s="153"/>
      <c r="AU63" s="153"/>
      <c r="AV63" s="153"/>
      <c r="AW63" s="153"/>
      <c r="AX63" s="153"/>
      <c r="AY63" s="153"/>
      <c r="AZ63" s="153"/>
      <c r="BA63" s="153"/>
      <c r="BB63" s="153"/>
      <c r="BC63" s="153"/>
      <c r="BD63" s="153"/>
      <c r="BE63" s="153"/>
      <c r="BF63" s="153"/>
      <c r="BG63" s="153"/>
      <c r="BS63" s="13">
        <v>2</v>
      </c>
      <c r="BT63" s="123">
        <v>44491</v>
      </c>
      <c r="BU63" s="116" t="s">
        <v>8</v>
      </c>
      <c r="BV63" s="115" t="s">
        <v>482</v>
      </c>
      <c r="BW63" s="116" t="s">
        <v>502</v>
      </c>
      <c r="BX63" s="115">
        <v>18400</v>
      </c>
      <c r="BY63" s="115">
        <v>41.7</v>
      </c>
      <c r="BZ63" s="115">
        <v>47.945</v>
      </c>
      <c r="CA63" s="119">
        <v>-3216.6708800000001</v>
      </c>
      <c r="CB63" s="115">
        <v>1.1497601918465228</v>
      </c>
      <c r="CC63" s="115">
        <v>500</v>
      </c>
      <c r="CD63" s="115">
        <v>50</v>
      </c>
      <c r="CE63" s="119">
        <v>20850</v>
      </c>
    </row>
    <row r="64" spans="1:83" hidden="1">
      <c r="A64" s="13">
        <f t="shared" si="28"/>
        <v>57</v>
      </c>
      <c r="B64" s="123">
        <v>44623</v>
      </c>
      <c r="C64" s="116" t="s">
        <v>6</v>
      </c>
      <c r="D64" s="116">
        <v>1</v>
      </c>
      <c r="E64" s="115" t="s">
        <v>632</v>
      </c>
      <c r="F64" s="116" t="s">
        <v>130</v>
      </c>
      <c r="G64" s="115"/>
      <c r="H64" s="117">
        <v>44651</v>
      </c>
      <c r="I64" s="115">
        <v>6750</v>
      </c>
      <c r="J64" s="115">
        <v>230.3</v>
      </c>
      <c r="K64" s="115">
        <v>239</v>
      </c>
      <c r="L64" s="119">
        <f t="shared" ca="1" si="16"/>
        <v>0</v>
      </c>
      <c r="M64" s="119">
        <f t="shared" si="17"/>
        <v>58724.99999999992</v>
      </c>
      <c r="N64" s="115">
        <f t="shared" si="164"/>
        <v>1.0377768128528007</v>
      </c>
      <c r="O64" s="156">
        <f t="shared" si="165"/>
        <v>172.72500000000002</v>
      </c>
      <c r="P64" s="160">
        <f t="shared" si="20"/>
        <v>1554525</v>
      </c>
      <c r="Q64" s="160" t="e">
        <f t="shared" si="166"/>
        <v>#N/A</v>
      </c>
      <c r="R64" s="153" t="e">
        <f t="shared" ca="1" si="22"/>
        <v>#VALUE!</v>
      </c>
      <c r="S64" s="119">
        <f t="shared" si="167"/>
        <v>23.029999999999998</v>
      </c>
      <c r="T64" s="115" t="e">
        <f>VLOOKUP(TRIM($F64),Reference!B:C,2,0)</f>
        <v>#VALUE!</v>
      </c>
      <c r="U64" s="170">
        <f t="shared" ca="1" si="168"/>
        <v>0</v>
      </c>
      <c r="V64" s="120" t="str">
        <f t="shared" si="6"/>
        <v>TATAPOWER22MARFUT</v>
      </c>
      <c r="W64" s="158" t="e">
        <f>VLOOKUP($V64,Reference!BA:BD,4,0)</f>
        <v>#N/A</v>
      </c>
      <c r="X64" s="160">
        <f t="shared" ca="1" si="7"/>
        <v>0</v>
      </c>
      <c r="Y64" s="160">
        <f t="shared" ca="1" si="8"/>
        <v>0</v>
      </c>
      <c r="Z64" s="160">
        <f t="shared" ca="1" si="25"/>
        <v>0</v>
      </c>
      <c r="AA64" s="160">
        <f t="shared" ca="1" si="9"/>
        <v>0</v>
      </c>
      <c r="AB64" s="160">
        <f t="shared" ca="1" si="10"/>
        <v>0</v>
      </c>
      <c r="AC64" s="119">
        <f t="shared" ca="1" si="11"/>
        <v>0</v>
      </c>
      <c r="AD64" s="115">
        <f t="shared" ca="1" si="169"/>
        <v>-1.4602739726027398</v>
      </c>
      <c r="AE64" s="115">
        <f t="shared" si="170"/>
        <v>20</v>
      </c>
      <c r="AF64" s="115"/>
      <c r="AG64" s="115"/>
      <c r="AH64" s="115">
        <f t="shared" si="14"/>
        <v>0</v>
      </c>
      <c r="AI64" s="115"/>
      <c r="AJ64" s="115">
        <f t="shared" si="15"/>
        <v>46.635750000000002</v>
      </c>
      <c r="AK64" s="115"/>
      <c r="AL64" s="142"/>
      <c r="AM64" s="153"/>
      <c r="AN64" s="153"/>
      <c r="AO64" s="153"/>
      <c r="AP64" s="153"/>
      <c r="AQ64" s="153"/>
      <c r="AR64" s="153"/>
      <c r="AS64" s="153"/>
      <c r="AT64" s="153"/>
      <c r="AU64" s="153"/>
      <c r="AV64" s="153"/>
      <c r="AW64" s="153"/>
      <c r="AX64" s="153"/>
      <c r="AY64" s="153"/>
      <c r="AZ64" s="153"/>
      <c r="BA64" s="153"/>
      <c r="BB64" s="153"/>
      <c r="BC64" s="153"/>
      <c r="BD64" s="153"/>
      <c r="BE64" s="153"/>
      <c r="BF64" s="153"/>
      <c r="BG64" s="153"/>
      <c r="BS64" s="13">
        <v>2</v>
      </c>
      <c r="BT64" s="123">
        <v>44491</v>
      </c>
      <c r="BU64" s="116" t="s">
        <v>8</v>
      </c>
      <c r="BV64" s="115" t="s">
        <v>482</v>
      </c>
      <c r="BW64" s="116" t="s">
        <v>502</v>
      </c>
      <c r="BX64" s="115">
        <v>18400</v>
      </c>
      <c r="BY64" s="115">
        <v>41.7</v>
      </c>
      <c r="BZ64" s="115">
        <v>47.945</v>
      </c>
      <c r="CA64" s="119">
        <v>-3216.6708800000001</v>
      </c>
      <c r="CB64" s="115">
        <v>1.1497601918465228</v>
      </c>
      <c r="CC64" s="115">
        <v>500</v>
      </c>
      <c r="CD64" s="115">
        <v>50</v>
      </c>
      <c r="CE64" s="119">
        <v>20850</v>
      </c>
    </row>
    <row r="65" spans="1:83" hidden="1">
      <c r="A65" s="13">
        <f t="shared" si="28"/>
        <v>58</v>
      </c>
      <c r="B65" s="123">
        <v>44623</v>
      </c>
      <c r="C65" s="116" t="s">
        <v>6</v>
      </c>
      <c r="D65" s="116">
        <v>1</v>
      </c>
      <c r="E65" s="115" t="s">
        <v>632</v>
      </c>
      <c r="F65" s="116" t="s">
        <v>284</v>
      </c>
      <c r="G65" s="115"/>
      <c r="H65" s="117">
        <v>44651</v>
      </c>
      <c r="I65" s="115">
        <v>2850</v>
      </c>
      <c r="J65" s="115">
        <v>439.6</v>
      </c>
      <c r="K65" s="115">
        <v>408.53</v>
      </c>
      <c r="L65" s="119">
        <f t="shared" ca="1" si="16"/>
        <v>0</v>
      </c>
      <c r="M65" s="119">
        <f t="shared" si="17"/>
        <v>-88549.500000000146</v>
      </c>
      <c r="N65" s="115">
        <f t="shared" ref="N65:N67" si="171">K65/$J65</f>
        <v>0.92932211101000894</v>
      </c>
      <c r="O65" s="156">
        <f t="shared" ref="O65:O67" si="172">J65*(1+$O$6*IF(C65="B",-1,1))</f>
        <v>329.70000000000005</v>
      </c>
      <c r="P65" s="160">
        <f t="shared" si="20"/>
        <v>1252860</v>
      </c>
      <c r="Q65" s="160" t="e">
        <f t="shared" ref="Q65:Q67" si="173">(W65-J65)*I65*IF(C65="B",1,-1)*IF(K65=0,1,0)</f>
        <v>#N/A</v>
      </c>
      <c r="R65" s="153" t="e">
        <f t="shared" ca="1" si="22"/>
        <v>#VALUE!</v>
      </c>
      <c r="S65" s="119">
        <f t="shared" ref="S65:S67" si="174">(1-$S$6)*J65</f>
        <v>43.959999999999994</v>
      </c>
      <c r="T65" s="115" t="e">
        <f>VLOOKUP(TRIM($F65),Reference!B:C,2,0)</f>
        <v>#VALUE!</v>
      </c>
      <c r="U65" s="170">
        <f t="shared" ref="U65:U67" ca="1" si="175">AC65</f>
        <v>0</v>
      </c>
      <c r="V65" s="120" t="str">
        <f t="shared" si="6"/>
        <v>TATAMOTORS22MARFUT</v>
      </c>
      <c r="W65" s="158" t="e">
        <f>VLOOKUP($V65,Reference!BA:BD,4,0)</f>
        <v>#N/A</v>
      </c>
      <c r="X65" s="160">
        <f t="shared" ca="1" si="7"/>
        <v>0</v>
      </c>
      <c r="Y65" s="160">
        <f t="shared" ca="1" si="8"/>
        <v>0</v>
      </c>
      <c r="Z65" s="160">
        <f t="shared" ca="1" si="25"/>
        <v>0</v>
      </c>
      <c r="AA65" s="160">
        <f t="shared" ca="1" si="9"/>
        <v>0</v>
      </c>
      <c r="AB65" s="160">
        <f t="shared" ca="1" si="10"/>
        <v>0</v>
      </c>
      <c r="AC65" s="119">
        <f t="shared" ca="1" si="11"/>
        <v>0</v>
      </c>
      <c r="AD65" s="115">
        <f t="shared" ref="AD65:AD67" ca="1" si="176">(H65-TODAY())/365</f>
        <v>-1.4602739726027398</v>
      </c>
      <c r="AE65" s="115">
        <f t="shared" ref="AE65:AE67" si="177">IF(I65&lt;&gt;0,20,0)</f>
        <v>20</v>
      </c>
      <c r="AF65" s="115"/>
      <c r="AG65" s="115"/>
      <c r="AH65" s="115">
        <f t="shared" si="14"/>
        <v>0</v>
      </c>
      <c r="AI65" s="115"/>
      <c r="AJ65" s="115">
        <f t="shared" si="15"/>
        <v>37.585799999999999</v>
      </c>
      <c r="AK65" s="115"/>
      <c r="AL65" s="142"/>
      <c r="AM65" s="153"/>
      <c r="AN65" s="153"/>
      <c r="AO65" s="153"/>
      <c r="AP65" s="153"/>
      <c r="AQ65" s="153"/>
      <c r="AR65" s="153"/>
      <c r="AS65" s="153"/>
      <c r="AT65" s="153"/>
      <c r="AU65" s="153"/>
      <c r="AV65" s="153"/>
      <c r="AW65" s="153"/>
      <c r="AX65" s="153"/>
      <c r="AY65" s="153"/>
      <c r="AZ65" s="153"/>
      <c r="BA65" s="153"/>
      <c r="BB65" s="153"/>
      <c r="BC65" s="153"/>
      <c r="BD65" s="153"/>
      <c r="BE65" s="153"/>
      <c r="BF65" s="153"/>
      <c r="BG65" s="153"/>
      <c r="BS65" s="13">
        <v>2</v>
      </c>
      <c r="BT65" s="123">
        <v>44491</v>
      </c>
      <c r="BU65" s="116" t="s">
        <v>8</v>
      </c>
      <c r="BV65" s="115" t="s">
        <v>482</v>
      </c>
      <c r="BW65" s="116" t="s">
        <v>502</v>
      </c>
      <c r="BX65" s="115">
        <v>18400</v>
      </c>
      <c r="BY65" s="115">
        <v>41.7</v>
      </c>
      <c r="BZ65" s="115">
        <v>47.945</v>
      </c>
      <c r="CA65" s="119">
        <v>-3216.6708800000001</v>
      </c>
      <c r="CB65" s="115">
        <v>1.1497601918465228</v>
      </c>
      <c r="CC65" s="115">
        <v>500</v>
      </c>
      <c r="CD65" s="115">
        <v>50</v>
      </c>
      <c r="CE65" s="119">
        <v>20850</v>
      </c>
    </row>
    <row r="66" spans="1:83" hidden="1">
      <c r="A66" s="13">
        <f t="shared" si="28"/>
        <v>59</v>
      </c>
      <c r="B66" s="123">
        <v>44623</v>
      </c>
      <c r="C66" s="116" t="s">
        <v>8</v>
      </c>
      <c r="D66" s="116">
        <v>1</v>
      </c>
      <c r="E66" s="115" t="s">
        <v>481</v>
      </c>
      <c r="F66" s="116" t="s">
        <v>502</v>
      </c>
      <c r="G66" s="115">
        <v>17700</v>
      </c>
      <c r="H66" s="117">
        <v>44651</v>
      </c>
      <c r="I66" s="115">
        <v>50</v>
      </c>
      <c r="J66" s="115">
        <v>100.3</v>
      </c>
      <c r="K66" s="115">
        <v>0.45</v>
      </c>
      <c r="L66" s="119">
        <f t="shared" ca="1" si="16"/>
        <v>0</v>
      </c>
      <c r="M66" s="119">
        <f t="shared" si="17"/>
        <v>4992.5</v>
      </c>
      <c r="N66" s="115">
        <f t="shared" si="171"/>
        <v>4.4865403788634101E-3</v>
      </c>
      <c r="O66" s="156">
        <f t="shared" si="172"/>
        <v>125.375</v>
      </c>
      <c r="P66" s="160">
        <f t="shared" si="20"/>
        <v>5015</v>
      </c>
      <c r="Q66" s="160" t="e">
        <f t="shared" si="173"/>
        <v>#N/A</v>
      </c>
      <c r="R66" s="153" t="e">
        <f t="shared" ca="1" si="22"/>
        <v>#VALUE!</v>
      </c>
      <c r="S66" s="119">
        <f t="shared" si="174"/>
        <v>10.029999999999998</v>
      </c>
      <c r="T66" s="115" t="str">
        <f>VLOOKUP(TRIM($F66),Reference!B:C,2,0)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66" s="120">
        <f t="shared" ca="1" si="175"/>
        <v>0</v>
      </c>
      <c r="V66" s="120" t="str">
        <f t="shared" si="6"/>
        <v>NIFTY22MAR17700CE</v>
      </c>
      <c r="W66" s="158" t="e">
        <f>VLOOKUP($V66,Reference!BA:BD,4,0)</f>
        <v>#N/A</v>
      </c>
      <c r="X66" s="160">
        <f t="shared" ca="1" si="7"/>
        <v>0</v>
      </c>
      <c r="Y66" s="160">
        <f t="shared" ca="1" si="8"/>
        <v>0</v>
      </c>
      <c r="Z66" s="160">
        <f t="shared" ca="1" si="25"/>
        <v>0</v>
      </c>
      <c r="AA66" s="160">
        <f t="shared" ca="1" si="9"/>
        <v>0</v>
      </c>
      <c r="AB66" s="160">
        <f t="shared" ca="1" si="10"/>
        <v>0</v>
      </c>
      <c r="AC66" s="119">
        <f t="shared" ca="1" si="11"/>
        <v>0</v>
      </c>
      <c r="AD66" s="115">
        <f t="shared" ca="1" si="176"/>
        <v>-1.4602739726027398</v>
      </c>
      <c r="AE66" s="115">
        <f t="shared" si="177"/>
        <v>20</v>
      </c>
      <c r="AF66" s="115"/>
      <c r="AG66" s="115"/>
      <c r="AH66" s="115">
        <f t="shared" si="14"/>
        <v>2.5074999999999998</v>
      </c>
      <c r="AI66" s="115"/>
      <c r="AJ66" s="115">
        <f t="shared" si="15"/>
        <v>0</v>
      </c>
      <c r="AK66" s="115"/>
      <c r="AL66" s="140">
        <v>1</v>
      </c>
      <c r="AM66" s="154"/>
      <c r="AN66" s="154"/>
      <c r="AO66" s="154"/>
      <c r="AP66" s="154"/>
      <c r="AQ66" s="154"/>
      <c r="AR66" s="154"/>
      <c r="AS66" s="154"/>
      <c r="AT66" s="154"/>
      <c r="AU66" s="154"/>
      <c r="AV66" s="154"/>
      <c r="AW66" s="154"/>
      <c r="AX66" s="154"/>
      <c r="AY66" s="154"/>
      <c r="AZ66" s="154"/>
      <c r="BA66" s="154"/>
      <c r="BB66" s="154"/>
      <c r="BC66" s="154"/>
      <c r="BD66" s="154"/>
      <c r="BE66" s="154"/>
      <c r="BF66" s="154"/>
      <c r="BG66" s="154"/>
      <c r="BS66" s="11">
        <v>3</v>
      </c>
      <c r="BT66" s="11">
        <v>44491</v>
      </c>
      <c r="BU66" s="11" t="s">
        <v>8</v>
      </c>
      <c r="BV66" s="11" t="s">
        <v>481</v>
      </c>
      <c r="BW66" s="11" t="s">
        <v>502</v>
      </c>
      <c r="BX66" s="11">
        <v>18700</v>
      </c>
      <c r="BY66" s="11">
        <v>34.75</v>
      </c>
      <c r="BZ66" s="11">
        <v>0.05</v>
      </c>
      <c r="CA66" s="11">
        <v>17263.657599999999</v>
      </c>
      <c r="CB66" s="11">
        <v>1.4388489208633094E-3</v>
      </c>
      <c r="CC66" s="11">
        <v>500</v>
      </c>
      <c r="CD66" s="11">
        <v>50</v>
      </c>
      <c r="CE66" s="11">
        <v>17375</v>
      </c>
    </row>
    <row r="67" spans="1:83" hidden="1">
      <c r="A67" s="13">
        <f t="shared" si="28"/>
        <v>60</v>
      </c>
      <c r="B67" s="123">
        <v>44624</v>
      </c>
      <c r="C67" s="116" t="s">
        <v>8</v>
      </c>
      <c r="D67" s="116">
        <v>1</v>
      </c>
      <c r="E67" s="115" t="s">
        <v>481</v>
      </c>
      <c r="F67" s="116" t="s">
        <v>506</v>
      </c>
      <c r="G67" s="115">
        <v>38000</v>
      </c>
      <c r="H67" s="117">
        <v>44651</v>
      </c>
      <c r="I67" s="115">
        <v>25</v>
      </c>
      <c r="J67" s="115">
        <v>229.95</v>
      </c>
      <c r="K67" s="115">
        <v>4.2</v>
      </c>
      <c r="L67" s="119">
        <f t="shared" ca="1" si="16"/>
        <v>0</v>
      </c>
      <c r="M67" s="119">
        <f t="shared" si="17"/>
        <v>5643.75</v>
      </c>
      <c r="N67" s="115">
        <f t="shared" si="171"/>
        <v>1.8264840182648404E-2</v>
      </c>
      <c r="O67" s="156">
        <f t="shared" si="172"/>
        <v>287.4375</v>
      </c>
      <c r="P67" s="160">
        <f t="shared" si="20"/>
        <v>5748.75</v>
      </c>
      <c r="Q67" s="160" t="e">
        <f t="shared" si="173"/>
        <v>#N/A</v>
      </c>
      <c r="R67" s="153" t="e">
        <f t="shared" ca="1" si="22"/>
        <v>#VALUE!</v>
      </c>
      <c r="S67" s="119">
        <f t="shared" si="174"/>
        <v>22.994999999999994</v>
      </c>
      <c r="T67" s="115" t="str">
        <f>VLOOKUP(TRIM($F67),Reference!B:C,2,0)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67" s="120">
        <f t="shared" ca="1" si="175"/>
        <v>0</v>
      </c>
      <c r="V67" s="120" t="str">
        <f t="shared" si="6"/>
        <v>BANKNIFTY22MAR38000CE</v>
      </c>
      <c r="W67" s="158" t="e">
        <f>VLOOKUP($V67,Reference!BA:BD,4,0)</f>
        <v>#N/A</v>
      </c>
      <c r="X67" s="160">
        <f t="shared" ca="1" si="7"/>
        <v>0</v>
      </c>
      <c r="Y67" s="160">
        <f t="shared" ca="1" si="8"/>
        <v>0</v>
      </c>
      <c r="Z67" s="160">
        <f t="shared" ca="1" si="25"/>
        <v>0</v>
      </c>
      <c r="AA67" s="160">
        <f t="shared" ca="1" si="9"/>
        <v>0</v>
      </c>
      <c r="AB67" s="160">
        <f t="shared" ca="1" si="10"/>
        <v>0</v>
      </c>
      <c r="AC67" s="119">
        <f t="shared" ca="1" si="11"/>
        <v>0</v>
      </c>
      <c r="AD67" s="115">
        <f t="shared" ca="1" si="176"/>
        <v>-1.4602739726027398</v>
      </c>
      <c r="AE67" s="115">
        <f t="shared" si="177"/>
        <v>20</v>
      </c>
      <c r="AF67" s="115"/>
      <c r="AG67" s="115"/>
      <c r="AH67" s="115">
        <f t="shared" si="14"/>
        <v>2.8743750000000001</v>
      </c>
      <c r="AI67" s="115"/>
      <c r="AJ67" s="115">
        <f t="shared" si="15"/>
        <v>0</v>
      </c>
      <c r="AK67" s="115"/>
      <c r="AM67" s="154"/>
      <c r="AN67" s="154"/>
      <c r="AO67" s="154"/>
      <c r="AP67" s="154"/>
      <c r="AQ67" s="154"/>
      <c r="AR67" s="154"/>
      <c r="AS67" s="154"/>
      <c r="AT67" s="154"/>
      <c r="AU67" s="154"/>
      <c r="AV67" s="154"/>
      <c r="AW67" s="154"/>
      <c r="AX67" s="154"/>
      <c r="AY67" s="154"/>
      <c r="AZ67" s="154"/>
      <c r="BA67" s="154"/>
      <c r="BB67" s="154"/>
      <c r="BC67" s="154"/>
      <c r="BD67" s="154"/>
      <c r="BE67" s="154"/>
      <c r="BF67" s="154"/>
      <c r="BG67" s="154"/>
      <c r="BS67" s="11">
        <v>2</v>
      </c>
      <c r="BT67" s="11">
        <v>44491</v>
      </c>
      <c r="BU67" s="11" t="s">
        <v>8</v>
      </c>
      <c r="BV67" s="11" t="s">
        <v>482</v>
      </c>
      <c r="BW67" s="11" t="s">
        <v>502</v>
      </c>
      <c r="BX67" s="11">
        <v>18400</v>
      </c>
      <c r="BY67" s="11">
        <v>41.7</v>
      </c>
      <c r="BZ67" s="11">
        <v>47.945</v>
      </c>
      <c r="CA67" s="11">
        <v>-3216.6708800000001</v>
      </c>
      <c r="CB67" s="11">
        <v>1.1497601918465228</v>
      </c>
      <c r="CC67" s="11">
        <v>500</v>
      </c>
      <c r="CD67" s="11">
        <v>50</v>
      </c>
      <c r="CE67" s="11">
        <v>20850</v>
      </c>
    </row>
    <row r="68" spans="1:83" hidden="1">
      <c r="A68" s="13">
        <f t="shared" si="28"/>
        <v>61</v>
      </c>
      <c r="B68" s="123">
        <v>44624</v>
      </c>
      <c r="C68" s="116" t="s">
        <v>6</v>
      </c>
      <c r="D68" s="116">
        <v>1</v>
      </c>
      <c r="E68" s="115" t="s">
        <v>632</v>
      </c>
      <c r="F68" s="116" t="s">
        <v>126</v>
      </c>
      <c r="G68" s="115"/>
      <c r="H68" s="117">
        <v>44651</v>
      </c>
      <c r="I68" s="115">
        <v>3750</v>
      </c>
      <c r="J68" s="115">
        <v>212</v>
      </c>
      <c r="K68" s="115">
        <v>212.4</v>
      </c>
      <c r="L68" s="119">
        <f t="shared" ca="1" si="16"/>
        <v>0</v>
      </c>
      <c r="M68" s="119">
        <f t="shared" si="17"/>
        <v>1500.0000000000214</v>
      </c>
      <c r="N68" s="115">
        <f t="shared" ref="N68" si="178">K68/$J68</f>
        <v>1.0018867924528303</v>
      </c>
      <c r="O68" s="156">
        <f t="shared" ref="O68" si="179">J68*(1+$O$6*IF(C68="B",-1,1))</f>
        <v>159</v>
      </c>
      <c r="P68" s="160">
        <f t="shared" si="20"/>
        <v>795000</v>
      </c>
      <c r="Q68" s="160" t="e">
        <f t="shared" ref="Q68" si="180">(W68-J68)*I68*IF(C68="B",1,-1)*IF(K68=0,1,0)</f>
        <v>#N/A</v>
      </c>
      <c r="R68" s="153" t="e">
        <f t="shared" ca="1" si="22"/>
        <v>#VALUE!</v>
      </c>
      <c r="S68" s="119">
        <f t="shared" ref="S68" si="181">(1-$S$6)*J68</f>
        <v>21.199999999999996</v>
      </c>
      <c r="T68" s="115" t="e">
        <f>VLOOKUP(TRIM($F68),Reference!B:C,2,0)</f>
        <v>#VALUE!</v>
      </c>
      <c r="U68" s="170">
        <f t="shared" ref="U68" ca="1" si="182">AC68</f>
        <v>0</v>
      </c>
      <c r="V68" s="120" t="str">
        <f t="shared" si="6"/>
        <v>IEX22MARFUT</v>
      </c>
      <c r="W68" s="158" t="e">
        <f>VLOOKUP($V68,Reference!BA:BD,4,0)</f>
        <v>#N/A</v>
      </c>
      <c r="X68" s="160">
        <f t="shared" ca="1" si="7"/>
        <v>0</v>
      </c>
      <c r="Y68" s="160">
        <f t="shared" ca="1" si="8"/>
        <v>0</v>
      </c>
      <c r="Z68" s="160">
        <f t="shared" ca="1" si="25"/>
        <v>0</v>
      </c>
      <c r="AA68" s="160">
        <f t="shared" ca="1" si="9"/>
        <v>0</v>
      </c>
      <c r="AB68" s="160">
        <f t="shared" ca="1" si="10"/>
        <v>0</v>
      </c>
      <c r="AC68" s="119">
        <f t="shared" ca="1" si="11"/>
        <v>0</v>
      </c>
      <c r="AD68" s="115">
        <f t="shared" ref="AD68" ca="1" si="183">(H68-TODAY())/365</f>
        <v>-1.4602739726027398</v>
      </c>
      <c r="AE68" s="115">
        <f t="shared" ref="AE68" si="184">IF(I68&lt;&gt;0,20,0)</f>
        <v>20</v>
      </c>
      <c r="AF68" s="115"/>
      <c r="AG68" s="115"/>
      <c r="AH68" s="115">
        <f t="shared" si="14"/>
        <v>0</v>
      </c>
      <c r="AI68" s="115"/>
      <c r="AJ68" s="115">
        <f t="shared" si="15"/>
        <v>23.85</v>
      </c>
      <c r="AK68" s="115"/>
      <c r="AL68" s="142"/>
      <c r="AM68" s="153"/>
      <c r="AN68" s="153"/>
      <c r="AO68" s="153"/>
      <c r="AP68" s="153"/>
      <c r="AQ68" s="153"/>
      <c r="AR68" s="153"/>
      <c r="AS68" s="153"/>
      <c r="AT68" s="153"/>
      <c r="AU68" s="153"/>
      <c r="AV68" s="153"/>
      <c r="AW68" s="153"/>
      <c r="AX68" s="153"/>
      <c r="AY68" s="153"/>
      <c r="AZ68" s="153"/>
      <c r="BA68" s="153"/>
      <c r="BB68" s="153"/>
      <c r="BC68" s="153"/>
      <c r="BD68" s="153"/>
      <c r="BE68" s="153"/>
      <c r="BF68" s="153"/>
      <c r="BG68" s="153"/>
      <c r="BS68" s="13">
        <v>2</v>
      </c>
      <c r="BT68" s="123">
        <v>44491</v>
      </c>
      <c r="BU68" s="116" t="s">
        <v>8</v>
      </c>
      <c r="BV68" s="115" t="s">
        <v>482</v>
      </c>
      <c r="BW68" s="116" t="s">
        <v>502</v>
      </c>
      <c r="BX68" s="115">
        <v>18400</v>
      </c>
      <c r="BY68" s="115">
        <v>41.7</v>
      </c>
      <c r="BZ68" s="115">
        <v>47.945</v>
      </c>
      <c r="CA68" s="119">
        <v>-3216.6708800000001</v>
      </c>
      <c r="CB68" s="115">
        <v>1.1497601918465228</v>
      </c>
      <c r="CC68" s="115">
        <v>500</v>
      </c>
      <c r="CD68" s="115">
        <v>50</v>
      </c>
      <c r="CE68" s="119">
        <v>20850</v>
      </c>
    </row>
    <row r="69" spans="1:83" hidden="1">
      <c r="A69" s="13">
        <f t="shared" si="28"/>
        <v>62</v>
      </c>
      <c r="B69" s="123">
        <v>44624</v>
      </c>
      <c r="C69" s="116" t="s">
        <v>6</v>
      </c>
      <c r="D69" s="116">
        <v>1</v>
      </c>
      <c r="E69" s="115" t="s">
        <v>632</v>
      </c>
      <c r="F69" s="116" t="s">
        <v>126</v>
      </c>
      <c r="G69" s="115"/>
      <c r="H69" s="117">
        <v>44651</v>
      </c>
      <c r="I69" s="115">
        <v>3750</v>
      </c>
      <c r="J69" s="115">
        <v>214.5</v>
      </c>
      <c r="K69" s="115">
        <v>220.8</v>
      </c>
      <c r="L69" s="119">
        <f t="shared" ca="1" si="16"/>
        <v>0</v>
      </c>
      <c r="M69" s="119">
        <f t="shared" si="17"/>
        <v>23625.000000000044</v>
      </c>
      <c r="N69" s="115">
        <f t="shared" ref="N69:N70" si="185">K69/$J69</f>
        <v>1.0293706293706295</v>
      </c>
      <c r="O69" s="156">
        <f t="shared" ref="O69:O70" si="186">J69*(1+$O$6*IF(C69="B",-1,1))</f>
        <v>160.875</v>
      </c>
      <c r="P69" s="160">
        <f t="shared" si="20"/>
        <v>804375</v>
      </c>
      <c r="Q69" s="160" t="e">
        <f t="shared" ref="Q69:Q70" si="187">(W69-J69)*I69*IF(C69="B",1,-1)*IF(K69=0,1,0)</f>
        <v>#N/A</v>
      </c>
      <c r="R69" s="153" t="e">
        <f t="shared" ca="1" si="22"/>
        <v>#VALUE!</v>
      </c>
      <c r="S69" s="119">
        <f t="shared" ref="S69:S70" si="188">(1-$S$6)*J69</f>
        <v>21.449999999999996</v>
      </c>
      <c r="T69" s="115" t="e">
        <f>VLOOKUP(TRIM($F69),Reference!B:C,2,0)</f>
        <v>#VALUE!</v>
      </c>
      <c r="U69" s="170">
        <f t="shared" ref="U69:U70" ca="1" si="189">AC69</f>
        <v>0</v>
      </c>
      <c r="V69" s="120" t="str">
        <f t="shared" si="6"/>
        <v>IEX22MARFUT</v>
      </c>
      <c r="W69" s="158" t="e">
        <f>VLOOKUP($V69,Reference!BA:BD,4,0)</f>
        <v>#N/A</v>
      </c>
      <c r="X69" s="160">
        <f t="shared" ca="1" si="7"/>
        <v>0</v>
      </c>
      <c r="Y69" s="160">
        <f t="shared" ca="1" si="8"/>
        <v>0</v>
      </c>
      <c r="Z69" s="160">
        <f t="shared" ca="1" si="25"/>
        <v>0</v>
      </c>
      <c r="AA69" s="160">
        <f t="shared" ca="1" si="9"/>
        <v>0</v>
      </c>
      <c r="AB69" s="160">
        <f t="shared" ca="1" si="10"/>
        <v>0</v>
      </c>
      <c r="AC69" s="119">
        <f t="shared" ca="1" si="11"/>
        <v>0</v>
      </c>
      <c r="AD69" s="115">
        <f t="shared" ref="AD69:AD70" ca="1" si="190">(H69-TODAY())/365</f>
        <v>-1.4602739726027398</v>
      </c>
      <c r="AE69" s="115">
        <f t="shared" ref="AE69:AE70" si="191">IF(I69&lt;&gt;0,20,0)</f>
        <v>20</v>
      </c>
      <c r="AF69" s="115"/>
      <c r="AG69" s="115"/>
      <c r="AH69" s="115">
        <f t="shared" si="14"/>
        <v>0</v>
      </c>
      <c r="AI69" s="115"/>
      <c r="AJ69" s="115">
        <f t="shared" si="15"/>
        <v>24.131250000000001</v>
      </c>
      <c r="AK69" s="115"/>
      <c r="AL69" s="142"/>
      <c r="AM69" s="153"/>
      <c r="AN69" s="153"/>
      <c r="AO69" s="153"/>
      <c r="AP69" s="153"/>
      <c r="AQ69" s="153"/>
      <c r="AR69" s="153"/>
      <c r="AS69" s="153"/>
      <c r="AT69" s="153"/>
      <c r="AU69" s="153"/>
      <c r="AV69" s="153"/>
      <c r="AW69" s="153"/>
      <c r="AX69" s="153"/>
      <c r="AY69" s="153"/>
      <c r="AZ69" s="153"/>
      <c r="BA69" s="153"/>
      <c r="BB69" s="153"/>
      <c r="BC69" s="153"/>
      <c r="BD69" s="153"/>
      <c r="BE69" s="153"/>
      <c r="BF69" s="153"/>
      <c r="BG69" s="153"/>
      <c r="BS69" s="13">
        <v>2</v>
      </c>
      <c r="BT69" s="123">
        <v>44491</v>
      </c>
      <c r="BU69" s="116" t="s">
        <v>8</v>
      </c>
      <c r="BV69" s="115" t="s">
        <v>482</v>
      </c>
      <c r="BW69" s="116" t="s">
        <v>502</v>
      </c>
      <c r="BX69" s="115">
        <v>18400</v>
      </c>
      <c r="BY69" s="115">
        <v>41.7</v>
      </c>
      <c r="BZ69" s="115">
        <v>47.945</v>
      </c>
      <c r="CA69" s="119">
        <v>-3216.6708800000001</v>
      </c>
      <c r="CB69" s="115">
        <v>1.1497601918465228</v>
      </c>
      <c r="CC69" s="115">
        <v>500</v>
      </c>
      <c r="CD69" s="115">
        <v>50</v>
      </c>
      <c r="CE69" s="119">
        <v>20850</v>
      </c>
    </row>
    <row r="70" spans="1:83" hidden="1">
      <c r="A70" s="13">
        <f t="shared" si="28"/>
        <v>63</v>
      </c>
      <c r="B70" s="123">
        <v>44624</v>
      </c>
      <c r="C70" s="116" t="s">
        <v>8</v>
      </c>
      <c r="D70" s="116">
        <v>1</v>
      </c>
      <c r="E70" s="115" t="s">
        <v>481</v>
      </c>
      <c r="F70" s="116" t="s">
        <v>126</v>
      </c>
      <c r="G70" s="115">
        <v>240</v>
      </c>
      <c r="H70" s="117">
        <v>44651</v>
      </c>
      <c r="I70" s="115">
        <v>7500</v>
      </c>
      <c r="J70" s="115">
        <v>2.4</v>
      </c>
      <c r="K70" s="115">
        <v>0.05</v>
      </c>
      <c r="L70" s="119">
        <f t="shared" ca="1" si="16"/>
        <v>0</v>
      </c>
      <c r="M70" s="119">
        <f t="shared" si="17"/>
        <v>17625</v>
      </c>
      <c r="N70" s="115">
        <f t="shared" si="185"/>
        <v>2.0833333333333336E-2</v>
      </c>
      <c r="O70" s="156">
        <f t="shared" si="186"/>
        <v>3</v>
      </c>
      <c r="P70" s="160">
        <f t="shared" si="20"/>
        <v>18000</v>
      </c>
      <c r="Q70" s="160" t="e">
        <f t="shared" si="187"/>
        <v>#N/A</v>
      </c>
      <c r="R70" s="153" t="e">
        <f t="shared" ca="1" si="22"/>
        <v>#VALUE!</v>
      </c>
      <c r="S70" s="119">
        <f t="shared" si="188"/>
        <v>0.23999999999999994</v>
      </c>
      <c r="T70" s="115" t="e">
        <f>VLOOKUP(TRIM($F70),Reference!B:C,2,0)</f>
        <v>#VALUE!</v>
      </c>
      <c r="U70" s="120">
        <f t="shared" ca="1" si="189"/>
        <v>0</v>
      </c>
      <c r="V70" s="120" t="str">
        <f t="shared" si="6"/>
        <v>IEX22MAR240CE</v>
      </c>
      <c r="W70" s="158" t="e">
        <f>VLOOKUP($V70,Reference!BA:BD,4,0)</f>
        <v>#N/A</v>
      </c>
      <c r="X70" s="160">
        <f t="shared" ca="1" si="7"/>
        <v>0</v>
      </c>
      <c r="Y70" s="160">
        <f t="shared" ca="1" si="8"/>
        <v>0</v>
      </c>
      <c r="Z70" s="160">
        <f t="shared" ca="1" si="25"/>
        <v>0</v>
      </c>
      <c r="AA70" s="160">
        <f t="shared" ca="1" si="9"/>
        <v>0</v>
      </c>
      <c r="AB70" s="160">
        <f t="shared" ca="1" si="10"/>
        <v>0</v>
      </c>
      <c r="AC70" s="119">
        <f t="shared" ca="1" si="11"/>
        <v>0</v>
      </c>
      <c r="AD70" s="115">
        <f t="shared" ca="1" si="190"/>
        <v>-1.4602739726027398</v>
      </c>
      <c r="AE70" s="115">
        <f t="shared" si="191"/>
        <v>20</v>
      </c>
      <c r="AF70" s="115"/>
      <c r="AG70" s="115"/>
      <c r="AH70" s="115">
        <f t="shared" si="14"/>
        <v>9</v>
      </c>
      <c r="AI70" s="115"/>
      <c r="AJ70" s="115">
        <f t="shared" si="15"/>
        <v>0</v>
      </c>
      <c r="AK70" s="115"/>
      <c r="AM70" s="154"/>
      <c r="AN70" s="154"/>
      <c r="AO70" s="154"/>
      <c r="AP70" s="154"/>
      <c r="AQ70" s="154"/>
      <c r="AR70" s="154"/>
      <c r="AS70" s="154"/>
      <c r="AT70" s="154"/>
      <c r="AU70" s="154"/>
      <c r="AV70" s="154"/>
      <c r="AW70" s="154"/>
      <c r="AX70" s="154"/>
      <c r="AY70" s="154"/>
      <c r="AZ70" s="154"/>
      <c r="BA70" s="154"/>
      <c r="BB70" s="154"/>
      <c r="BC70" s="154"/>
      <c r="BD70" s="154"/>
      <c r="BE70" s="154"/>
      <c r="BF70" s="154"/>
      <c r="BG70" s="154"/>
      <c r="BS70" s="11">
        <v>2</v>
      </c>
      <c r="BT70" s="11">
        <v>44491</v>
      </c>
      <c r="BU70" s="11" t="s">
        <v>8</v>
      </c>
      <c r="BV70" s="11" t="s">
        <v>482</v>
      </c>
      <c r="BW70" s="11" t="s">
        <v>502</v>
      </c>
      <c r="BX70" s="11">
        <v>18400</v>
      </c>
      <c r="BY70" s="11">
        <v>41.7</v>
      </c>
      <c r="BZ70" s="11">
        <v>47.945</v>
      </c>
      <c r="CA70" s="11">
        <v>-3216.6708800000001</v>
      </c>
      <c r="CB70" s="11">
        <v>1.1497601918465228</v>
      </c>
      <c r="CC70" s="11">
        <v>500</v>
      </c>
      <c r="CD70" s="11">
        <v>50</v>
      </c>
      <c r="CE70" s="11">
        <v>20850</v>
      </c>
    </row>
    <row r="71" spans="1:83" hidden="1">
      <c r="A71" s="13">
        <f t="shared" si="28"/>
        <v>64</v>
      </c>
      <c r="B71" s="123">
        <v>44624</v>
      </c>
      <c r="C71" s="116" t="s">
        <v>8</v>
      </c>
      <c r="D71" s="116">
        <v>1</v>
      </c>
      <c r="E71" s="115" t="s">
        <v>482</v>
      </c>
      <c r="F71" s="116" t="s">
        <v>126</v>
      </c>
      <c r="G71" s="115">
        <v>200</v>
      </c>
      <c r="H71" s="117">
        <v>44651</v>
      </c>
      <c r="I71" s="115">
        <v>3750</v>
      </c>
      <c r="J71" s="115">
        <v>5.15</v>
      </c>
      <c r="K71" s="115">
        <v>5.55</v>
      </c>
      <c r="L71" s="119">
        <f t="shared" ca="1" si="16"/>
        <v>0</v>
      </c>
      <c r="M71" s="119">
        <f t="shared" si="17"/>
        <v>-1499.999999999998</v>
      </c>
      <c r="N71" s="115">
        <f t="shared" ref="N71" si="192">K71/$J71</f>
        <v>1.0776699029126213</v>
      </c>
      <c r="O71" s="156">
        <f t="shared" ref="O71" si="193">J71*(1+$O$6*IF(C71="B",-1,1))</f>
        <v>6.4375</v>
      </c>
      <c r="P71" s="160">
        <f t="shared" si="20"/>
        <v>19312.5</v>
      </c>
      <c r="Q71" s="160" t="e">
        <f t="shared" ref="Q71" si="194">(W71-J71)*I71*IF(C71="B",1,-1)*IF(K71=0,1,0)</f>
        <v>#N/A</v>
      </c>
      <c r="R71" s="153" t="e">
        <f t="shared" ca="1" si="22"/>
        <v>#VALUE!</v>
      </c>
      <c r="S71" s="119">
        <f t="shared" ref="S71" si="195">(1-$S$6)*J71</f>
        <v>0.5149999999999999</v>
      </c>
      <c r="T71" s="115" t="e">
        <f>VLOOKUP(TRIM($F71),Reference!B:C,2,0)</f>
        <v>#VALUE!</v>
      </c>
      <c r="U71" s="120">
        <f t="shared" ref="U71" ca="1" si="196">AC71</f>
        <v>0</v>
      </c>
      <c r="V71" s="120" t="str">
        <f t="shared" si="6"/>
        <v>IEX22MAR200PE</v>
      </c>
      <c r="W71" s="158" t="e">
        <f>VLOOKUP($V71,Reference!BA:BD,4,0)</f>
        <v>#N/A</v>
      </c>
      <c r="X71" s="160">
        <f t="shared" ca="1" si="7"/>
        <v>0</v>
      </c>
      <c r="Y71" s="160">
        <f t="shared" ca="1" si="8"/>
        <v>0</v>
      </c>
      <c r="Z71" s="160">
        <f t="shared" ca="1" si="25"/>
        <v>0</v>
      </c>
      <c r="AA71" s="160">
        <f t="shared" ca="1" si="9"/>
        <v>0</v>
      </c>
      <c r="AB71" s="160">
        <f t="shared" ca="1" si="10"/>
        <v>0</v>
      </c>
      <c r="AC71" s="119">
        <f t="shared" ca="1" si="11"/>
        <v>0</v>
      </c>
      <c r="AD71" s="115">
        <f t="shared" ref="AD71" ca="1" si="197">(H71-TODAY())/365</f>
        <v>-1.4602739726027398</v>
      </c>
      <c r="AE71" s="115">
        <f t="shared" ref="AE71" si="198">IF(I71&lt;&gt;0,20,0)</f>
        <v>20</v>
      </c>
      <c r="AF71" s="115"/>
      <c r="AG71" s="115"/>
      <c r="AH71" s="115">
        <f t="shared" si="14"/>
        <v>9.65625</v>
      </c>
      <c r="AI71" s="115"/>
      <c r="AJ71" s="115">
        <f t="shared" si="15"/>
        <v>0</v>
      </c>
      <c r="AK71" s="115"/>
      <c r="AM71" s="154"/>
      <c r="AN71" s="154"/>
      <c r="AO71" s="154"/>
      <c r="AP71" s="154"/>
      <c r="AQ71" s="154"/>
      <c r="AR71" s="154"/>
      <c r="AS71" s="154"/>
      <c r="AT71" s="154"/>
      <c r="AU71" s="154"/>
      <c r="AV71" s="154"/>
      <c r="AW71" s="154"/>
      <c r="AX71" s="154"/>
      <c r="AY71" s="154"/>
      <c r="AZ71" s="154"/>
      <c r="BA71" s="154"/>
      <c r="BB71" s="154"/>
      <c r="BC71" s="154"/>
      <c r="BD71" s="154"/>
      <c r="BE71" s="154"/>
      <c r="BF71" s="154"/>
      <c r="BG71" s="154"/>
      <c r="BS71" s="11">
        <v>2</v>
      </c>
      <c r="BT71" s="11">
        <v>44491</v>
      </c>
      <c r="BU71" s="11" t="s">
        <v>8</v>
      </c>
      <c r="BV71" s="11" t="s">
        <v>482</v>
      </c>
      <c r="BW71" s="11" t="s">
        <v>502</v>
      </c>
      <c r="BX71" s="11">
        <v>18400</v>
      </c>
      <c r="BY71" s="11">
        <v>41.7</v>
      </c>
      <c r="BZ71" s="11">
        <v>47.945</v>
      </c>
      <c r="CA71" s="11">
        <v>-3216.6708800000001</v>
      </c>
      <c r="CB71" s="11">
        <v>1.1497601918465228</v>
      </c>
      <c r="CC71" s="11">
        <v>500</v>
      </c>
      <c r="CD71" s="11">
        <v>50</v>
      </c>
      <c r="CE71" s="11">
        <v>20850</v>
      </c>
    </row>
    <row r="72" spans="1:83" hidden="1">
      <c r="A72" s="13">
        <f t="shared" si="28"/>
        <v>65</v>
      </c>
      <c r="B72" s="123">
        <v>44624</v>
      </c>
      <c r="C72" s="116" t="s">
        <v>8</v>
      </c>
      <c r="D72" s="116">
        <v>1</v>
      </c>
      <c r="E72" s="115" t="s">
        <v>481</v>
      </c>
      <c r="F72" s="116" t="s">
        <v>284</v>
      </c>
      <c r="G72" s="115">
        <v>500</v>
      </c>
      <c r="H72" s="117">
        <v>44651</v>
      </c>
      <c r="I72" s="115">
        <v>8550</v>
      </c>
      <c r="J72" s="115">
        <v>3.73</v>
      </c>
      <c r="K72" s="115">
        <v>0.05</v>
      </c>
      <c r="L72" s="119">
        <f t="shared" ca="1" si="16"/>
        <v>0</v>
      </c>
      <c r="M72" s="119">
        <f t="shared" si="17"/>
        <v>31464</v>
      </c>
      <c r="N72" s="115">
        <f t="shared" ref="N72:N74" si="199">K72/$J72</f>
        <v>1.3404825737265416E-2</v>
      </c>
      <c r="O72" s="156">
        <f t="shared" ref="O72:O74" si="200">J72*(1+$O$6*IF(C72="B",-1,1))</f>
        <v>4.6624999999999996</v>
      </c>
      <c r="P72" s="160">
        <f t="shared" si="20"/>
        <v>31891.5</v>
      </c>
      <c r="Q72" s="160" t="e">
        <f t="shared" ref="Q72:Q74" si="201">(W72-J72)*I72*IF(C72="B",1,-1)*IF(K72=0,1,0)</f>
        <v>#N/A</v>
      </c>
      <c r="R72" s="153" t="e">
        <f t="shared" ca="1" si="22"/>
        <v>#VALUE!</v>
      </c>
      <c r="S72" s="119">
        <f t="shared" ref="S72:S74" si="202">(1-$S$6)*J72</f>
        <v>0.37299999999999994</v>
      </c>
      <c r="T72" s="115" t="e">
        <f>VLOOKUP(TRIM($F72),Reference!B:C,2,0)</f>
        <v>#VALUE!</v>
      </c>
      <c r="U72" s="120">
        <f t="shared" ref="U72:U74" ca="1" si="203">AC72</f>
        <v>0</v>
      </c>
      <c r="V72" s="120" t="str">
        <f t="shared" ref="V72:V135" si="204">TRIM(F72)&amp;TEXT(H72,"YY")&amp;UPPER(TEXT(H72,"MMM"))&amp;TRIM(G72)&amp;TRIM(E72)</f>
        <v>TATAMOTORS22MAR500CE</v>
      </c>
      <c r="W72" s="158" t="e">
        <f>VLOOKUP($V72,Reference!BA:BD,4,0)</f>
        <v>#N/A</v>
      </c>
      <c r="X72" s="160">
        <f t="shared" ref="X72:X135" ca="1" si="205">IF(OR($AD72&lt;0,$K72&lt;&gt;0),0,IF($E72="FUT",W72,OptionPrice(LEFT($E72),$T72,$G72,$AD72,RISKFREE_RATE,$U72,NIFTY_DIVYLD))*IF(C72="B",1,-1)*IF(I72=0,0,1)*IF(K72=0,1,0)*I72)</f>
        <v>0</v>
      </c>
      <c r="Y72" s="160">
        <f t="shared" ref="Y72:Y135" ca="1" si="206">IF(OR($AD72&lt;0,$K72&lt;&gt;0),0,IF($E72="FUT",1,OptionDelta(LEFT(E72),T72,G72,AD72,RISKFREE_RATE,U72,NIFTY_DIVYLD)))</f>
        <v>0</v>
      </c>
      <c r="Z72" s="160">
        <f t="shared" ca="1" si="25"/>
        <v>0</v>
      </c>
      <c r="AA72" s="160">
        <f t="shared" ref="AA72:AA135" ca="1" si="207">IF(OR($AD72&lt;0,$K72&lt;&gt;0),0,IF($E72="FUT",0,OptionTheta(LEFT(E72),T72,G72,AD72,RISKFREE_RATE,U72,NIFTY_DIVYLD))*IF(C72="B",1,-1)*IF(I72=0,0,1)*IF(K72=0,1,0)*I72)</f>
        <v>0</v>
      </c>
      <c r="AB72" s="160">
        <f t="shared" ref="AB72:AB135" ca="1" si="208">IF(OR($AD72&lt;0,$K72&lt;&gt;0),0,IF($E72="FUT",0,OptionGamma(T72,G72,AD72,RISKFREE_RATE,U72,NIFTY_DIVYLD))*IF(C72="B",1,-1)*IF(I72=0,0,1)*IF(K72=0,1,0))</f>
        <v>0</v>
      </c>
      <c r="AC72" s="119">
        <f t="shared" ref="AC72:AC135" ca="1" si="209">IF(OR($AD72&lt;0,$K72&lt;&gt;0),0,IF($E72="FUT",0,ImpliedVolatility(LEFT(E72),T72,G72,RISKFREE_RATE,AD72,NIFTY_DIVYLD,W72,$AC$6)))</f>
        <v>0</v>
      </c>
      <c r="AD72" s="115">
        <f t="shared" ref="AD72:AD74" ca="1" si="210">(H72-TODAY())/365</f>
        <v>-1.4602739726027398</v>
      </c>
      <c r="AE72" s="115">
        <f t="shared" ref="AE72:AE74" si="211">IF(I72&lt;&gt;0,20,0)</f>
        <v>20</v>
      </c>
      <c r="AF72" s="115"/>
      <c r="AG72" s="115"/>
      <c r="AH72" s="115">
        <f t="shared" si="14"/>
        <v>15.94575</v>
      </c>
      <c r="AI72" s="115"/>
      <c r="AJ72" s="115">
        <f t="shared" si="15"/>
        <v>0</v>
      </c>
      <c r="AK72" s="115"/>
      <c r="AM72" s="154"/>
      <c r="AN72" s="154"/>
      <c r="AO72" s="154"/>
      <c r="AP72" s="154"/>
      <c r="AQ72" s="154"/>
      <c r="AR72" s="154"/>
      <c r="AS72" s="154"/>
      <c r="AT72" s="154"/>
      <c r="AU72" s="154"/>
      <c r="AV72" s="154"/>
      <c r="AW72" s="154"/>
      <c r="AX72" s="154"/>
      <c r="AY72" s="154"/>
      <c r="AZ72" s="154"/>
      <c r="BA72" s="154"/>
      <c r="BB72" s="154"/>
      <c r="BC72" s="154"/>
      <c r="BD72" s="154"/>
      <c r="BE72" s="154"/>
      <c r="BF72" s="154"/>
      <c r="BG72" s="154"/>
      <c r="BS72" s="11">
        <v>2</v>
      </c>
      <c r="BT72" s="11">
        <v>44491</v>
      </c>
      <c r="BU72" s="11" t="s">
        <v>8</v>
      </c>
      <c r="BV72" s="11" t="s">
        <v>482</v>
      </c>
      <c r="BW72" s="11" t="s">
        <v>502</v>
      </c>
      <c r="BX72" s="11">
        <v>18400</v>
      </c>
      <c r="BY72" s="11">
        <v>41.7</v>
      </c>
      <c r="BZ72" s="11">
        <v>47.945</v>
      </c>
      <c r="CA72" s="11">
        <v>-3216.6708800000001</v>
      </c>
      <c r="CB72" s="11">
        <v>1.1497601918465228</v>
      </c>
      <c r="CC72" s="11">
        <v>500</v>
      </c>
      <c r="CD72" s="11">
        <v>50</v>
      </c>
      <c r="CE72" s="11">
        <v>20850</v>
      </c>
    </row>
    <row r="73" spans="1:83" hidden="1">
      <c r="A73" s="13">
        <f t="shared" si="28"/>
        <v>66</v>
      </c>
      <c r="B73" s="123">
        <v>44624</v>
      </c>
      <c r="C73" s="116" t="s">
        <v>8</v>
      </c>
      <c r="D73" s="116">
        <v>1</v>
      </c>
      <c r="E73" s="115" t="s">
        <v>481</v>
      </c>
      <c r="F73" s="116" t="s">
        <v>284</v>
      </c>
      <c r="G73" s="115">
        <v>480</v>
      </c>
      <c r="H73" s="117">
        <v>44651</v>
      </c>
      <c r="I73" s="115">
        <v>2850</v>
      </c>
      <c r="J73" s="115">
        <v>5.7</v>
      </c>
      <c r="K73" s="115">
        <v>0.05</v>
      </c>
      <c r="L73" s="119">
        <f t="shared" ref="L73:L136" ca="1" si="212">IF(AND(K73&lt;&gt;0,I73&lt;&gt;0),(IF(C73="B",1,-1))*(K73-J73)*I73-AK73*2,0)*$D73*IF(MONTH($B$2)=MONTH($H73),1,0)</f>
        <v>0</v>
      </c>
      <c r="M73" s="119">
        <f t="shared" ref="M73:M136" si="213">IF(AND(K73&lt;&gt;0,I73&lt;&gt;0),(IF(C73="B",1,-1))*(K73-J73)*I73-AK73*2,0)*$D73</f>
        <v>16102.500000000002</v>
      </c>
      <c r="N73" s="115">
        <f t="shared" si="199"/>
        <v>8.771929824561403E-3</v>
      </c>
      <c r="O73" s="156">
        <f t="shared" si="200"/>
        <v>7.125</v>
      </c>
      <c r="P73" s="160">
        <f t="shared" si="20"/>
        <v>16245</v>
      </c>
      <c r="Q73" s="160" t="e">
        <f t="shared" si="201"/>
        <v>#N/A</v>
      </c>
      <c r="R73" s="153" t="e">
        <f t="shared" ref="R73:R136" ca="1" si="214">Z73*T73</f>
        <v>#VALUE!</v>
      </c>
      <c r="S73" s="119">
        <f t="shared" si="202"/>
        <v>0.56999999999999984</v>
      </c>
      <c r="T73" s="115" t="e">
        <f>VLOOKUP(TRIM($F73),Reference!B:C,2,0)</f>
        <v>#VALUE!</v>
      </c>
      <c r="U73" s="120">
        <f t="shared" ca="1" si="203"/>
        <v>0</v>
      </c>
      <c r="V73" s="120" t="str">
        <f t="shared" si="204"/>
        <v>TATAMOTORS22MAR480CE</v>
      </c>
      <c r="W73" s="158" t="e">
        <f>VLOOKUP($V73,Reference!BA:BD,4,0)</f>
        <v>#N/A</v>
      </c>
      <c r="X73" s="160">
        <f t="shared" ca="1" si="205"/>
        <v>0</v>
      </c>
      <c r="Y73" s="160">
        <f t="shared" ca="1" si="206"/>
        <v>0</v>
      </c>
      <c r="Z73" s="160">
        <f t="shared" ref="Z73:Z136" ca="1" si="215">Y73*IF(C73="B",1,-1)*IF(I73=0,0,1)*IF(K73=0,1,0)*I73</f>
        <v>0</v>
      </c>
      <c r="AA73" s="160">
        <f t="shared" ca="1" si="207"/>
        <v>0</v>
      </c>
      <c r="AB73" s="160">
        <f t="shared" ca="1" si="208"/>
        <v>0</v>
      </c>
      <c r="AC73" s="119">
        <f t="shared" ca="1" si="209"/>
        <v>0</v>
      </c>
      <c r="AD73" s="115">
        <f t="shared" ca="1" si="210"/>
        <v>-1.4602739726027398</v>
      </c>
      <c r="AE73" s="115">
        <f t="shared" si="211"/>
        <v>20</v>
      </c>
      <c r="AF73" s="115"/>
      <c r="AG73" s="115"/>
      <c r="AH73" s="115">
        <f t="shared" si="14"/>
        <v>8.1225000000000005</v>
      </c>
      <c r="AI73" s="115"/>
      <c r="AJ73" s="115">
        <f t="shared" si="15"/>
        <v>0</v>
      </c>
      <c r="AK73" s="115"/>
      <c r="AM73" s="154"/>
      <c r="AN73" s="154"/>
      <c r="AO73" s="154"/>
      <c r="AP73" s="154"/>
      <c r="AQ73" s="154"/>
      <c r="AR73" s="154"/>
      <c r="AS73" s="154"/>
      <c r="AT73" s="154"/>
      <c r="AU73" s="154"/>
      <c r="AV73" s="154"/>
      <c r="AW73" s="154"/>
      <c r="AX73" s="154"/>
      <c r="AY73" s="154"/>
      <c r="AZ73" s="154"/>
      <c r="BA73" s="154"/>
      <c r="BB73" s="154"/>
      <c r="BC73" s="154"/>
      <c r="BD73" s="154"/>
      <c r="BE73" s="154"/>
      <c r="BF73" s="154"/>
      <c r="BG73" s="154"/>
      <c r="BS73" s="11">
        <v>2</v>
      </c>
      <c r="BT73" s="11">
        <v>44491</v>
      </c>
      <c r="BU73" s="11" t="s">
        <v>8</v>
      </c>
      <c r="BV73" s="11" t="s">
        <v>482</v>
      </c>
      <c r="BW73" s="11" t="s">
        <v>502</v>
      </c>
      <c r="BX73" s="11">
        <v>18400</v>
      </c>
      <c r="BY73" s="11">
        <v>41.7</v>
      </c>
      <c r="BZ73" s="11">
        <v>47.945</v>
      </c>
      <c r="CA73" s="11">
        <v>-3216.6708800000001</v>
      </c>
      <c r="CB73" s="11">
        <v>1.1497601918465228</v>
      </c>
      <c r="CC73" s="11">
        <v>500</v>
      </c>
      <c r="CD73" s="11">
        <v>50</v>
      </c>
      <c r="CE73" s="11">
        <v>20850</v>
      </c>
    </row>
    <row r="74" spans="1:83" hidden="1">
      <c r="A74" s="13">
        <f t="shared" si="28"/>
        <v>67</v>
      </c>
      <c r="B74" s="123">
        <v>44624</v>
      </c>
      <c r="C74" s="116" t="s">
        <v>8</v>
      </c>
      <c r="D74" s="116">
        <v>1</v>
      </c>
      <c r="E74" s="115" t="s">
        <v>481</v>
      </c>
      <c r="F74" s="116" t="s">
        <v>502</v>
      </c>
      <c r="G74" s="115">
        <v>17500</v>
      </c>
      <c r="H74" s="117">
        <v>44651</v>
      </c>
      <c r="I74" s="115">
        <v>200</v>
      </c>
      <c r="J74" s="115">
        <v>62.88</v>
      </c>
      <c r="K74" s="115">
        <v>3.1</v>
      </c>
      <c r="L74" s="119">
        <f t="shared" ca="1" si="212"/>
        <v>0</v>
      </c>
      <c r="M74" s="119">
        <f t="shared" si="213"/>
        <v>11956</v>
      </c>
      <c r="N74" s="115">
        <f t="shared" si="199"/>
        <v>4.9300254452926205E-2</v>
      </c>
      <c r="O74" s="156">
        <f t="shared" si="200"/>
        <v>78.600000000000009</v>
      </c>
      <c r="P74" s="160">
        <f t="shared" si="20"/>
        <v>12576</v>
      </c>
      <c r="Q74" s="160" t="e">
        <f t="shared" si="201"/>
        <v>#N/A</v>
      </c>
      <c r="R74" s="153" t="e">
        <f t="shared" ca="1" si="214"/>
        <v>#VALUE!</v>
      </c>
      <c r="S74" s="119">
        <f t="shared" si="202"/>
        <v>6.2879999999999985</v>
      </c>
      <c r="T74" s="115" t="str">
        <f>VLOOKUP(TRIM($F74),Reference!B:C,2,0)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74" s="120">
        <f t="shared" ca="1" si="203"/>
        <v>0</v>
      </c>
      <c r="V74" s="120" t="str">
        <f t="shared" si="204"/>
        <v>NIFTY22MAR17500CE</v>
      </c>
      <c r="W74" s="158" t="e">
        <f>VLOOKUP($V74,Reference!BA:BD,4,0)</f>
        <v>#N/A</v>
      </c>
      <c r="X74" s="160">
        <f t="shared" ca="1" si="205"/>
        <v>0</v>
      </c>
      <c r="Y74" s="160">
        <f t="shared" ca="1" si="206"/>
        <v>0</v>
      </c>
      <c r="Z74" s="160">
        <f t="shared" ca="1" si="215"/>
        <v>0</v>
      </c>
      <c r="AA74" s="160">
        <f t="shared" ca="1" si="207"/>
        <v>0</v>
      </c>
      <c r="AB74" s="160">
        <f t="shared" ca="1" si="208"/>
        <v>0</v>
      </c>
      <c r="AC74" s="119">
        <f t="shared" ca="1" si="209"/>
        <v>0</v>
      </c>
      <c r="AD74" s="115">
        <f t="shared" ca="1" si="210"/>
        <v>-1.4602739726027398</v>
      </c>
      <c r="AE74" s="115">
        <f t="shared" si="211"/>
        <v>20</v>
      </c>
      <c r="AF74" s="115"/>
      <c r="AG74" s="115"/>
      <c r="AH74" s="115">
        <f t="shared" si="14"/>
        <v>6.2880000000000003</v>
      </c>
      <c r="AI74" s="115"/>
      <c r="AJ74" s="115">
        <f t="shared" si="15"/>
        <v>0</v>
      </c>
      <c r="AK74" s="115"/>
      <c r="AL74" s="140">
        <v>1</v>
      </c>
      <c r="AM74" s="154"/>
      <c r="AN74" s="154"/>
      <c r="AO74" s="154"/>
      <c r="AP74" s="154"/>
      <c r="AQ74" s="154"/>
      <c r="AR74" s="154"/>
      <c r="AS74" s="154"/>
      <c r="AT74" s="154"/>
      <c r="AU74" s="154"/>
      <c r="AV74" s="154"/>
      <c r="AW74" s="154"/>
      <c r="AX74" s="154"/>
      <c r="AY74" s="154"/>
      <c r="AZ74" s="154"/>
      <c r="BA74" s="154"/>
      <c r="BB74" s="154"/>
      <c r="BC74" s="154"/>
      <c r="BD74" s="154"/>
      <c r="BE74" s="154"/>
      <c r="BF74" s="154"/>
      <c r="BG74" s="154"/>
      <c r="BS74" s="11">
        <v>3</v>
      </c>
      <c r="BT74" s="11">
        <v>44491</v>
      </c>
      <c r="BU74" s="11" t="s">
        <v>8</v>
      </c>
      <c r="BV74" s="11" t="s">
        <v>481</v>
      </c>
      <c r="BW74" s="11" t="s">
        <v>502</v>
      </c>
      <c r="BX74" s="11">
        <v>18700</v>
      </c>
      <c r="BY74" s="11">
        <v>34.75</v>
      </c>
      <c r="BZ74" s="11">
        <v>0.05</v>
      </c>
      <c r="CA74" s="11">
        <v>17263.657599999999</v>
      </c>
      <c r="CB74" s="11">
        <v>1.4388489208633094E-3</v>
      </c>
      <c r="CC74" s="11">
        <v>500</v>
      </c>
      <c r="CD74" s="11">
        <v>50</v>
      </c>
      <c r="CE74" s="11">
        <v>17375</v>
      </c>
    </row>
    <row r="75" spans="1:83" hidden="1">
      <c r="A75" s="13">
        <f t="shared" si="28"/>
        <v>68</v>
      </c>
      <c r="B75" s="123">
        <v>44624</v>
      </c>
      <c r="C75" s="116" t="s">
        <v>8</v>
      </c>
      <c r="D75" s="116">
        <v>1</v>
      </c>
      <c r="E75" s="115" t="s">
        <v>481</v>
      </c>
      <c r="F75" s="116" t="s">
        <v>502</v>
      </c>
      <c r="G75" s="115">
        <v>17400</v>
      </c>
      <c r="H75" s="117">
        <v>44651</v>
      </c>
      <c r="I75" s="115">
        <v>100</v>
      </c>
      <c r="J75" s="115">
        <v>77.099999999999994</v>
      </c>
      <c r="K75" s="115">
        <v>48.4</v>
      </c>
      <c r="L75" s="119">
        <f t="shared" ca="1" si="212"/>
        <v>0</v>
      </c>
      <c r="M75" s="119">
        <f t="shared" si="213"/>
        <v>2869.9999999999995</v>
      </c>
      <c r="N75" s="115">
        <f t="shared" ref="N75:N77" si="216">K75/$J75</f>
        <v>0.62775616083009078</v>
      </c>
      <c r="O75" s="156">
        <f t="shared" ref="O75:O77" si="217">J75*(1+$O$6*IF(C75="B",-1,1))</f>
        <v>96.375</v>
      </c>
      <c r="P75" s="160">
        <f t="shared" si="20"/>
        <v>7709.9999999999991</v>
      </c>
      <c r="Q75" s="160" t="e">
        <f t="shared" ref="Q75:Q77" si="218">(W75-J75)*I75*IF(C75="B",1,-1)*IF(K75=0,1,0)</f>
        <v>#N/A</v>
      </c>
      <c r="R75" s="153" t="e">
        <f t="shared" ca="1" si="214"/>
        <v>#VALUE!</v>
      </c>
      <c r="S75" s="119">
        <f t="shared" ref="S75:S77" si="219">(1-$S$6)*J75</f>
        <v>7.7099999999999973</v>
      </c>
      <c r="T75" s="115" t="str">
        <f>VLOOKUP(TRIM($F75),Reference!B:C,2,0)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75" s="120">
        <f t="shared" ref="U75:U77" ca="1" si="220">AC75</f>
        <v>0</v>
      </c>
      <c r="V75" s="120" t="str">
        <f t="shared" si="204"/>
        <v>NIFTY22MAR17400CE</v>
      </c>
      <c r="W75" s="158" t="e">
        <f>VLOOKUP($V75,Reference!BA:BD,4,0)</f>
        <v>#N/A</v>
      </c>
      <c r="X75" s="160">
        <f t="shared" ca="1" si="205"/>
        <v>0</v>
      </c>
      <c r="Y75" s="160">
        <f t="shared" ca="1" si="206"/>
        <v>0</v>
      </c>
      <c r="Z75" s="160">
        <f t="shared" ca="1" si="215"/>
        <v>0</v>
      </c>
      <c r="AA75" s="160">
        <f t="shared" ca="1" si="207"/>
        <v>0</v>
      </c>
      <c r="AB75" s="160">
        <f t="shared" ca="1" si="208"/>
        <v>0</v>
      </c>
      <c r="AC75" s="119">
        <f t="shared" ca="1" si="209"/>
        <v>0</v>
      </c>
      <c r="AD75" s="115">
        <f t="shared" ref="AD75:AD77" ca="1" si="221">(H75-TODAY())/365</f>
        <v>-1.4602739726027398</v>
      </c>
      <c r="AE75" s="115">
        <f t="shared" ref="AE75:AE77" si="222">IF(I75&lt;&gt;0,20,0)</f>
        <v>20</v>
      </c>
      <c r="AF75" s="115"/>
      <c r="AG75" s="115"/>
      <c r="AH75" s="115">
        <f t="shared" si="14"/>
        <v>3.8549999999999995</v>
      </c>
      <c r="AI75" s="115"/>
      <c r="AJ75" s="115">
        <f t="shared" si="15"/>
        <v>0</v>
      </c>
      <c r="AK75" s="115"/>
      <c r="AL75" s="140">
        <v>1</v>
      </c>
      <c r="AM75" s="154"/>
      <c r="AN75" s="154"/>
      <c r="AO75" s="154"/>
      <c r="AP75" s="154"/>
      <c r="AQ75" s="154"/>
      <c r="AR75" s="154"/>
      <c r="AS75" s="154"/>
      <c r="AT75" s="154"/>
      <c r="AU75" s="154"/>
      <c r="AV75" s="154"/>
      <c r="AW75" s="154"/>
      <c r="AX75" s="154"/>
      <c r="AY75" s="154"/>
      <c r="AZ75" s="154"/>
      <c r="BA75" s="154"/>
      <c r="BB75" s="154"/>
      <c r="BC75" s="154"/>
      <c r="BD75" s="154"/>
      <c r="BE75" s="154"/>
      <c r="BF75" s="154"/>
      <c r="BG75" s="154"/>
      <c r="BS75" s="11">
        <v>3</v>
      </c>
      <c r="BT75" s="11">
        <v>44491</v>
      </c>
      <c r="BU75" s="11" t="s">
        <v>8</v>
      </c>
      <c r="BV75" s="11" t="s">
        <v>481</v>
      </c>
      <c r="BW75" s="11" t="s">
        <v>502</v>
      </c>
      <c r="BX75" s="11">
        <v>18700</v>
      </c>
      <c r="BY75" s="11">
        <v>34.75</v>
      </c>
      <c r="BZ75" s="11">
        <v>0.05</v>
      </c>
      <c r="CA75" s="11">
        <v>17263.657599999999</v>
      </c>
      <c r="CB75" s="11">
        <v>1.4388489208633094E-3</v>
      </c>
      <c r="CC75" s="11">
        <v>500</v>
      </c>
      <c r="CD75" s="11">
        <v>50</v>
      </c>
      <c r="CE75" s="11">
        <v>17375</v>
      </c>
    </row>
    <row r="76" spans="1:83" hidden="1">
      <c r="A76" s="13">
        <f t="shared" si="28"/>
        <v>69</v>
      </c>
      <c r="B76" s="123">
        <v>44624</v>
      </c>
      <c r="C76" s="116" t="s">
        <v>8</v>
      </c>
      <c r="D76" s="116">
        <v>1</v>
      </c>
      <c r="E76" s="115" t="s">
        <v>481</v>
      </c>
      <c r="F76" s="116" t="s">
        <v>502</v>
      </c>
      <c r="G76" s="115">
        <v>17300</v>
      </c>
      <c r="H76" s="117">
        <v>44651</v>
      </c>
      <c r="I76" s="115">
        <v>200</v>
      </c>
      <c r="J76" s="115">
        <v>93.05</v>
      </c>
      <c r="K76" s="115">
        <v>160</v>
      </c>
      <c r="L76" s="119">
        <f t="shared" ca="1" si="212"/>
        <v>0</v>
      </c>
      <c r="M76" s="119">
        <f t="shared" si="213"/>
        <v>-13390</v>
      </c>
      <c r="N76" s="115">
        <f t="shared" si="216"/>
        <v>1.7195056421278883</v>
      </c>
      <c r="O76" s="156">
        <f t="shared" si="217"/>
        <v>116.3125</v>
      </c>
      <c r="P76" s="160">
        <f t="shared" si="20"/>
        <v>18610</v>
      </c>
      <c r="Q76" s="160" t="e">
        <f t="shared" si="218"/>
        <v>#N/A</v>
      </c>
      <c r="R76" s="153" t="e">
        <f t="shared" ca="1" si="214"/>
        <v>#VALUE!</v>
      </c>
      <c r="S76" s="119">
        <f t="shared" si="219"/>
        <v>9.3049999999999979</v>
      </c>
      <c r="T76" s="115" t="str">
        <f>VLOOKUP(TRIM($F76),Reference!B:C,2,0)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76" s="120">
        <f t="shared" ca="1" si="220"/>
        <v>0</v>
      </c>
      <c r="V76" s="120" t="str">
        <f t="shared" si="204"/>
        <v>NIFTY22MAR17300CE</v>
      </c>
      <c r="W76" s="158" t="e">
        <f>VLOOKUP($V76,Reference!BA:BD,4,0)</f>
        <v>#N/A</v>
      </c>
      <c r="X76" s="160">
        <f t="shared" ca="1" si="205"/>
        <v>0</v>
      </c>
      <c r="Y76" s="160">
        <f t="shared" ca="1" si="206"/>
        <v>0</v>
      </c>
      <c r="Z76" s="160">
        <f t="shared" ca="1" si="215"/>
        <v>0</v>
      </c>
      <c r="AA76" s="160">
        <f t="shared" ca="1" si="207"/>
        <v>0</v>
      </c>
      <c r="AB76" s="160">
        <f t="shared" ca="1" si="208"/>
        <v>0</v>
      </c>
      <c r="AC76" s="119">
        <f t="shared" ca="1" si="209"/>
        <v>0</v>
      </c>
      <c r="AD76" s="115">
        <f t="shared" ca="1" si="221"/>
        <v>-1.4602739726027398</v>
      </c>
      <c r="AE76" s="115">
        <f t="shared" si="222"/>
        <v>20</v>
      </c>
      <c r="AF76" s="115"/>
      <c r="AG76" s="115"/>
      <c r="AH76" s="115">
        <f t="shared" si="14"/>
        <v>9.3049999999999997</v>
      </c>
      <c r="AI76" s="115"/>
      <c r="AJ76" s="115">
        <f t="shared" si="15"/>
        <v>0</v>
      </c>
      <c r="AK76" s="115"/>
      <c r="AL76" s="140">
        <v>1</v>
      </c>
      <c r="AM76" s="154"/>
      <c r="AN76" s="154"/>
      <c r="AO76" s="154"/>
      <c r="AP76" s="154"/>
      <c r="AQ76" s="154"/>
      <c r="AR76" s="154"/>
      <c r="AS76" s="154"/>
      <c r="AT76" s="154"/>
      <c r="AU76" s="154"/>
      <c r="AV76" s="154"/>
      <c r="AW76" s="154"/>
      <c r="AX76" s="154"/>
      <c r="AY76" s="154"/>
      <c r="AZ76" s="154"/>
      <c r="BA76" s="154"/>
      <c r="BB76" s="154"/>
      <c r="BC76" s="154"/>
      <c r="BD76" s="154"/>
      <c r="BE76" s="154"/>
      <c r="BF76" s="154"/>
      <c r="BG76" s="154"/>
      <c r="BS76" s="11">
        <v>3</v>
      </c>
      <c r="BT76" s="11">
        <v>44491</v>
      </c>
      <c r="BU76" s="11" t="s">
        <v>8</v>
      </c>
      <c r="BV76" s="11" t="s">
        <v>481</v>
      </c>
      <c r="BW76" s="11" t="s">
        <v>502</v>
      </c>
      <c r="BX76" s="11">
        <v>18700</v>
      </c>
      <c r="BY76" s="11">
        <v>34.75</v>
      </c>
      <c r="BZ76" s="11">
        <v>0.05</v>
      </c>
      <c r="CA76" s="11">
        <v>17263.657599999999</v>
      </c>
      <c r="CB76" s="11">
        <v>1.4388489208633094E-3</v>
      </c>
      <c r="CC76" s="11">
        <v>500</v>
      </c>
      <c r="CD76" s="11">
        <v>50</v>
      </c>
      <c r="CE76" s="11">
        <v>17375</v>
      </c>
    </row>
    <row r="77" spans="1:83" hidden="1">
      <c r="A77" s="13">
        <f t="shared" si="28"/>
        <v>70</v>
      </c>
      <c r="B77" s="123">
        <v>44627</v>
      </c>
      <c r="C77" s="116" t="s">
        <v>6</v>
      </c>
      <c r="D77" s="116">
        <v>1</v>
      </c>
      <c r="E77" s="115" t="s">
        <v>632</v>
      </c>
      <c r="F77" s="116" t="s">
        <v>502</v>
      </c>
      <c r="G77" s="115"/>
      <c r="H77" s="117">
        <v>44651</v>
      </c>
      <c r="I77" s="115">
        <v>50</v>
      </c>
      <c r="J77" s="115">
        <v>15818</v>
      </c>
      <c r="K77" s="115">
        <v>17442.650000000001</v>
      </c>
      <c r="L77" s="119">
        <f t="shared" ca="1" si="212"/>
        <v>0</v>
      </c>
      <c r="M77" s="119">
        <f t="shared" si="213"/>
        <v>81232.500000000073</v>
      </c>
      <c r="N77" s="115">
        <f t="shared" si="216"/>
        <v>1.102708939183209</v>
      </c>
      <c r="O77" s="156">
        <f t="shared" si="217"/>
        <v>11863.5</v>
      </c>
      <c r="P77" s="160">
        <f t="shared" si="20"/>
        <v>790900</v>
      </c>
      <c r="Q77" s="160" t="e">
        <f t="shared" si="218"/>
        <v>#N/A</v>
      </c>
      <c r="R77" s="153" t="e">
        <f t="shared" ca="1" si="214"/>
        <v>#VALUE!</v>
      </c>
      <c r="S77" s="119">
        <f t="shared" si="219"/>
        <v>1581.7999999999997</v>
      </c>
      <c r="T77" s="115" t="str">
        <f>VLOOKUP(TRIM($F77),Reference!B:C,2,0)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77" s="170">
        <f t="shared" ca="1" si="220"/>
        <v>0</v>
      </c>
      <c r="V77" s="120" t="str">
        <f t="shared" si="204"/>
        <v>NIFTY22MARFUT</v>
      </c>
      <c r="W77" s="158" t="e">
        <f>VLOOKUP($V77,Reference!BA:BD,4,0)</f>
        <v>#N/A</v>
      </c>
      <c r="X77" s="160">
        <f t="shared" ca="1" si="205"/>
        <v>0</v>
      </c>
      <c r="Y77" s="160">
        <f t="shared" ca="1" si="206"/>
        <v>0</v>
      </c>
      <c r="Z77" s="160">
        <f t="shared" ca="1" si="215"/>
        <v>0</v>
      </c>
      <c r="AA77" s="160">
        <f t="shared" ca="1" si="207"/>
        <v>0</v>
      </c>
      <c r="AB77" s="160">
        <f t="shared" ca="1" si="208"/>
        <v>0</v>
      </c>
      <c r="AC77" s="119">
        <f t="shared" ca="1" si="209"/>
        <v>0</v>
      </c>
      <c r="AD77" s="115">
        <f t="shared" ca="1" si="221"/>
        <v>-1.4602739726027398</v>
      </c>
      <c r="AE77" s="115">
        <f t="shared" si="222"/>
        <v>20</v>
      </c>
      <c r="AF77" s="115"/>
      <c r="AG77" s="115"/>
      <c r="AH77" s="115">
        <f t="shared" si="14"/>
        <v>0</v>
      </c>
      <c r="AI77" s="115"/>
      <c r="AJ77" s="115">
        <f t="shared" si="15"/>
        <v>23.727</v>
      </c>
      <c r="AK77" s="115"/>
      <c r="AL77" s="142"/>
      <c r="AM77" s="153"/>
      <c r="AN77" s="153"/>
      <c r="AO77" s="153"/>
      <c r="AP77" s="153"/>
      <c r="AQ77" s="153"/>
      <c r="AR77" s="153"/>
      <c r="AS77" s="153"/>
      <c r="AT77" s="153"/>
      <c r="AU77" s="153"/>
      <c r="AV77" s="153"/>
      <c r="AW77" s="153"/>
      <c r="AX77" s="153"/>
      <c r="AY77" s="153"/>
      <c r="AZ77" s="153"/>
      <c r="BA77" s="153"/>
      <c r="BB77" s="153"/>
      <c r="BC77" s="153"/>
      <c r="BD77" s="153"/>
      <c r="BE77" s="153"/>
      <c r="BF77" s="153"/>
      <c r="BG77" s="153"/>
      <c r="BS77" s="13">
        <v>2</v>
      </c>
      <c r="BT77" s="123">
        <v>44491</v>
      </c>
      <c r="BU77" s="116" t="s">
        <v>8</v>
      </c>
      <c r="BV77" s="115" t="s">
        <v>482</v>
      </c>
      <c r="BW77" s="116" t="s">
        <v>502</v>
      </c>
      <c r="BX77" s="115">
        <v>18400</v>
      </c>
      <c r="BY77" s="115">
        <v>41.7</v>
      </c>
      <c r="BZ77" s="115">
        <v>47.945</v>
      </c>
      <c r="CA77" s="119">
        <v>-3216.6708800000001</v>
      </c>
      <c r="CB77" s="115">
        <v>1.1497601918465228</v>
      </c>
      <c r="CC77" s="115">
        <v>500</v>
      </c>
      <c r="CD77" s="115">
        <v>50</v>
      </c>
      <c r="CE77" s="119">
        <v>20850</v>
      </c>
    </row>
    <row r="78" spans="1:83" hidden="1">
      <c r="A78" s="13">
        <f t="shared" si="28"/>
        <v>71</v>
      </c>
      <c r="B78" s="123">
        <v>44627</v>
      </c>
      <c r="C78" s="116" t="s">
        <v>8</v>
      </c>
      <c r="D78" s="116">
        <v>1</v>
      </c>
      <c r="E78" s="115" t="s">
        <v>481</v>
      </c>
      <c r="F78" s="116" t="s">
        <v>502</v>
      </c>
      <c r="G78" s="115">
        <v>17000</v>
      </c>
      <c r="H78" s="117">
        <v>44651</v>
      </c>
      <c r="I78" s="115">
        <v>100</v>
      </c>
      <c r="J78" s="115">
        <v>84.94</v>
      </c>
      <c r="K78" s="115">
        <v>467</v>
      </c>
      <c r="L78" s="119">
        <f t="shared" ca="1" si="212"/>
        <v>0</v>
      </c>
      <c r="M78" s="119">
        <f t="shared" si="213"/>
        <v>-38206</v>
      </c>
      <c r="N78" s="115">
        <f t="shared" ref="N78:N79" si="223">K78/$J78</f>
        <v>5.4979985872380501</v>
      </c>
      <c r="O78" s="156">
        <f t="shared" ref="O78:O79" si="224">J78*(1+$O$6*IF(C78="B",-1,1))</f>
        <v>106.175</v>
      </c>
      <c r="P78" s="160">
        <f t="shared" si="20"/>
        <v>8494</v>
      </c>
      <c r="Q78" s="160" t="e">
        <f t="shared" ref="Q78:Q79" si="225">(W78-J78)*I78*IF(C78="B",1,-1)*IF(K78=0,1,0)</f>
        <v>#N/A</v>
      </c>
      <c r="R78" s="153" t="e">
        <f t="shared" ca="1" si="214"/>
        <v>#VALUE!</v>
      </c>
      <c r="S78" s="119">
        <f t="shared" ref="S78:S79" si="226">(1-$S$6)*J78</f>
        <v>8.493999999999998</v>
      </c>
      <c r="T78" s="115" t="str">
        <f>VLOOKUP(TRIM($F78),Reference!B:C,2,0)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78" s="120">
        <f t="shared" ref="U78:U79" ca="1" si="227">AC78</f>
        <v>0</v>
      </c>
      <c r="V78" s="120" t="str">
        <f t="shared" si="204"/>
        <v>NIFTY22MAR17000CE</v>
      </c>
      <c r="W78" s="158" t="e">
        <f>VLOOKUP($V78,Reference!BA:BD,4,0)</f>
        <v>#N/A</v>
      </c>
      <c r="X78" s="160">
        <f t="shared" ca="1" si="205"/>
        <v>0</v>
      </c>
      <c r="Y78" s="160">
        <f t="shared" ca="1" si="206"/>
        <v>0</v>
      </c>
      <c r="Z78" s="160">
        <f t="shared" ca="1" si="215"/>
        <v>0</v>
      </c>
      <c r="AA78" s="160">
        <f t="shared" ca="1" si="207"/>
        <v>0</v>
      </c>
      <c r="AB78" s="160">
        <f t="shared" ca="1" si="208"/>
        <v>0</v>
      </c>
      <c r="AC78" s="119">
        <f t="shared" ca="1" si="209"/>
        <v>0</v>
      </c>
      <c r="AD78" s="115">
        <f t="shared" ref="AD78:AD79" ca="1" si="228">(H78-TODAY())/365</f>
        <v>-1.4602739726027398</v>
      </c>
      <c r="AE78" s="115">
        <f t="shared" ref="AE78:AE79" si="229">IF(I78&lt;&gt;0,20,0)</f>
        <v>20</v>
      </c>
      <c r="AF78" s="115"/>
      <c r="AG78" s="115"/>
      <c r="AH78" s="115">
        <f t="shared" si="14"/>
        <v>4.2469999999999999</v>
      </c>
      <c r="AI78" s="115"/>
      <c r="AJ78" s="115">
        <f t="shared" si="15"/>
        <v>0</v>
      </c>
      <c r="AK78" s="115"/>
      <c r="AL78" s="140">
        <v>1</v>
      </c>
      <c r="AM78" s="154"/>
      <c r="AN78" s="154"/>
      <c r="AO78" s="154"/>
      <c r="AP78" s="154"/>
      <c r="AQ78" s="154"/>
      <c r="AR78" s="154"/>
      <c r="AS78" s="154"/>
      <c r="AT78" s="154"/>
      <c r="AU78" s="154"/>
      <c r="AV78" s="154"/>
      <c r="AW78" s="154"/>
      <c r="AX78" s="154"/>
      <c r="AY78" s="154"/>
      <c r="AZ78" s="154"/>
      <c r="BA78" s="154"/>
      <c r="BB78" s="154"/>
      <c r="BC78" s="154"/>
      <c r="BD78" s="154"/>
      <c r="BE78" s="154"/>
      <c r="BF78" s="154"/>
      <c r="BG78" s="154"/>
      <c r="BS78" s="11">
        <v>3</v>
      </c>
      <c r="BT78" s="11">
        <v>44491</v>
      </c>
      <c r="BU78" s="11" t="s">
        <v>8</v>
      </c>
      <c r="BV78" s="11" t="s">
        <v>481</v>
      </c>
      <c r="BW78" s="11" t="s">
        <v>502</v>
      </c>
      <c r="BX78" s="11">
        <v>18700</v>
      </c>
      <c r="BY78" s="11">
        <v>34.75</v>
      </c>
      <c r="BZ78" s="11">
        <v>0.05</v>
      </c>
      <c r="CA78" s="11">
        <v>17263.657599999999</v>
      </c>
      <c r="CB78" s="11">
        <v>1.4388489208633094E-3</v>
      </c>
      <c r="CC78" s="11">
        <v>500</v>
      </c>
      <c r="CD78" s="11">
        <v>50</v>
      </c>
      <c r="CE78" s="11">
        <v>17375</v>
      </c>
    </row>
    <row r="79" spans="1:83" hidden="1">
      <c r="A79" s="13">
        <f t="shared" si="28"/>
        <v>72</v>
      </c>
      <c r="B79" s="123">
        <v>44627</v>
      </c>
      <c r="C79" s="116" t="s">
        <v>8</v>
      </c>
      <c r="D79" s="116">
        <v>1</v>
      </c>
      <c r="E79" s="115" t="s">
        <v>481</v>
      </c>
      <c r="F79" s="116" t="s">
        <v>506</v>
      </c>
      <c r="G79" s="115">
        <v>36500</v>
      </c>
      <c r="H79" s="117">
        <v>44651</v>
      </c>
      <c r="I79" s="115">
        <v>25</v>
      </c>
      <c r="J79" s="115">
        <v>235.5</v>
      </c>
      <c r="K79" s="115">
        <v>2.75</v>
      </c>
      <c r="L79" s="119">
        <f t="shared" ca="1" si="212"/>
        <v>0</v>
      </c>
      <c r="M79" s="119">
        <f t="shared" si="213"/>
        <v>5818.75</v>
      </c>
      <c r="N79" s="115">
        <f t="shared" si="223"/>
        <v>1.167728237791932E-2</v>
      </c>
      <c r="O79" s="156">
        <f t="shared" si="224"/>
        <v>294.375</v>
      </c>
      <c r="P79" s="160">
        <f t="shared" si="20"/>
        <v>5887.5</v>
      </c>
      <c r="Q79" s="160" t="e">
        <f t="shared" si="225"/>
        <v>#N/A</v>
      </c>
      <c r="R79" s="153" t="e">
        <f t="shared" ca="1" si="214"/>
        <v>#VALUE!</v>
      </c>
      <c r="S79" s="119">
        <f t="shared" si="226"/>
        <v>23.549999999999994</v>
      </c>
      <c r="T79" s="115" t="str">
        <f>VLOOKUP(TRIM($F79),Reference!B:C,2,0)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79" s="120">
        <f t="shared" ca="1" si="227"/>
        <v>0</v>
      </c>
      <c r="V79" s="120" t="str">
        <f t="shared" si="204"/>
        <v>BANKNIFTY22MAR36500CE</v>
      </c>
      <c r="W79" s="158" t="e">
        <f>VLOOKUP($V79,Reference!BA:BD,4,0)</f>
        <v>#N/A</v>
      </c>
      <c r="X79" s="160">
        <f t="shared" ca="1" si="205"/>
        <v>0</v>
      </c>
      <c r="Y79" s="160">
        <f t="shared" ca="1" si="206"/>
        <v>0</v>
      </c>
      <c r="Z79" s="160">
        <f t="shared" ca="1" si="215"/>
        <v>0</v>
      </c>
      <c r="AA79" s="160">
        <f t="shared" ca="1" si="207"/>
        <v>0</v>
      </c>
      <c r="AB79" s="160">
        <f t="shared" ca="1" si="208"/>
        <v>0</v>
      </c>
      <c r="AC79" s="119">
        <f t="shared" ca="1" si="209"/>
        <v>0</v>
      </c>
      <c r="AD79" s="115">
        <f t="shared" ca="1" si="228"/>
        <v>-1.4602739726027398</v>
      </c>
      <c r="AE79" s="115">
        <f t="shared" si="229"/>
        <v>20</v>
      </c>
      <c r="AF79" s="115"/>
      <c r="AG79" s="115"/>
      <c r="AH79" s="115">
        <f t="shared" si="14"/>
        <v>2.9437500000000001</v>
      </c>
      <c r="AI79" s="115"/>
      <c r="AJ79" s="115">
        <f t="shared" si="15"/>
        <v>0</v>
      </c>
      <c r="AK79" s="115"/>
      <c r="AM79" s="154"/>
      <c r="AN79" s="154"/>
      <c r="AO79" s="154"/>
      <c r="AP79" s="154"/>
      <c r="AQ79" s="154"/>
      <c r="AR79" s="154"/>
      <c r="AS79" s="154"/>
      <c r="AT79" s="154"/>
      <c r="AU79" s="154"/>
      <c r="AV79" s="154"/>
      <c r="AW79" s="154"/>
      <c r="AX79" s="154"/>
      <c r="AY79" s="154"/>
      <c r="AZ79" s="154"/>
      <c r="BA79" s="154"/>
      <c r="BB79" s="154"/>
      <c r="BC79" s="154"/>
      <c r="BD79" s="154"/>
      <c r="BE79" s="154"/>
      <c r="BF79" s="154"/>
      <c r="BG79" s="154"/>
      <c r="BS79" s="11">
        <v>2</v>
      </c>
      <c r="BT79" s="11">
        <v>44491</v>
      </c>
      <c r="BU79" s="11" t="s">
        <v>8</v>
      </c>
      <c r="BV79" s="11" t="s">
        <v>482</v>
      </c>
      <c r="BW79" s="11" t="s">
        <v>502</v>
      </c>
      <c r="BX79" s="11">
        <v>18400</v>
      </c>
      <c r="BY79" s="11">
        <v>41.7</v>
      </c>
      <c r="BZ79" s="11">
        <v>47.945</v>
      </c>
      <c r="CA79" s="11">
        <v>-3216.6708800000001</v>
      </c>
      <c r="CB79" s="11">
        <v>1.1497601918465228</v>
      </c>
      <c r="CC79" s="11">
        <v>500</v>
      </c>
      <c r="CD79" s="11">
        <v>50</v>
      </c>
      <c r="CE79" s="11">
        <v>20850</v>
      </c>
    </row>
    <row r="80" spans="1:83" hidden="1">
      <c r="A80" s="13">
        <f t="shared" si="28"/>
        <v>73</v>
      </c>
      <c r="B80" s="123">
        <v>44627</v>
      </c>
      <c r="C80" s="116" t="s">
        <v>8</v>
      </c>
      <c r="D80" s="116">
        <v>1</v>
      </c>
      <c r="E80" s="115" t="s">
        <v>481</v>
      </c>
      <c r="F80" s="116" t="s">
        <v>506</v>
      </c>
      <c r="G80" s="115">
        <v>36000</v>
      </c>
      <c r="H80" s="117">
        <v>44651</v>
      </c>
      <c r="I80" s="115">
        <v>25</v>
      </c>
      <c r="J80" s="115">
        <v>277.3</v>
      </c>
      <c r="K80" s="115">
        <v>375</v>
      </c>
      <c r="L80" s="119">
        <f t="shared" ca="1" si="212"/>
        <v>0</v>
      </c>
      <c r="M80" s="119">
        <f t="shared" si="213"/>
        <v>-2442.4999999999995</v>
      </c>
      <c r="N80" s="115">
        <f t="shared" ref="N80:N82" si="230">K80/$J80</f>
        <v>1.3523260007212405</v>
      </c>
      <c r="O80" s="156">
        <f t="shared" ref="O80:O82" si="231">J80*(1+$O$6*IF(C80="B",-1,1))</f>
        <v>346.625</v>
      </c>
      <c r="P80" s="160">
        <f t="shared" si="20"/>
        <v>6932.5</v>
      </c>
      <c r="Q80" s="160" t="e">
        <f t="shared" ref="Q80:Q82" si="232">(W80-J80)*I80*IF(C80="B",1,-1)*IF(K80=0,1,0)</f>
        <v>#N/A</v>
      </c>
      <c r="R80" s="153" t="e">
        <f t="shared" ca="1" si="214"/>
        <v>#VALUE!</v>
      </c>
      <c r="S80" s="119">
        <f t="shared" ref="S80:S82" si="233">(1-$S$6)*J80</f>
        <v>27.729999999999993</v>
      </c>
      <c r="T80" s="115" t="str">
        <f>VLOOKUP(TRIM($F80),Reference!B:C,2,0)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80" s="120">
        <f t="shared" ref="U80:U82" ca="1" si="234">AC80</f>
        <v>0</v>
      </c>
      <c r="V80" s="120" t="str">
        <f t="shared" si="204"/>
        <v>BANKNIFTY22MAR36000CE</v>
      </c>
      <c r="W80" s="158" t="e">
        <f>VLOOKUP($V80,Reference!BA:BD,4,0)</f>
        <v>#N/A</v>
      </c>
      <c r="X80" s="160">
        <f t="shared" ca="1" si="205"/>
        <v>0</v>
      </c>
      <c r="Y80" s="160">
        <f t="shared" ca="1" si="206"/>
        <v>0</v>
      </c>
      <c r="Z80" s="160">
        <f t="shared" ca="1" si="215"/>
        <v>0</v>
      </c>
      <c r="AA80" s="160">
        <f t="shared" ca="1" si="207"/>
        <v>0</v>
      </c>
      <c r="AB80" s="160">
        <f t="shared" ca="1" si="208"/>
        <v>0</v>
      </c>
      <c r="AC80" s="119">
        <f t="shared" ca="1" si="209"/>
        <v>0</v>
      </c>
      <c r="AD80" s="115">
        <f t="shared" ref="AD80:AD82" ca="1" si="235">(H80-TODAY())/365</f>
        <v>-1.4602739726027398</v>
      </c>
      <c r="AE80" s="115">
        <f t="shared" ref="AE80:AE82" si="236">IF(I80&lt;&gt;0,20,0)</f>
        <v>20</v>
      </c>
      <c r="AF80" s="115"/>
      <c r="AG80" s="115"/>
      <c r="AH80" s="115">
        <f t="shared" si="14"/>
        <v>3.4662500000000001</v>
      </c>
      <c r="AI80" s="115"/>
      <c r="AJ80" s="115">
        <f t="shared" si="15"/>
        <v>0</v>
      </c>
      <c r="AK80" s="115"/>
      <c r="AM80" s="154"/>
      <c r="AN80" s="154"/>
      <c r="AO80" s="154"/>
      <c r="AP80" s="154"/>
      <c r="AQ80" s="154"/>
      <c r="AR80" s="154"/>
      <c r="AS80" s="154"/>
      <c r="AT80" s="154"/>
      <c r="AU80" s="154"/>
      <c r="AV80" s="154"/>
      <c r="AW80" s="154"/>
      <c r="AX80" s="154"/>
      <c r="AY80" s="154"/>
      <c r="AZ80" s="154"/>
      <c r="BA80" s="154"/>
      <c r="BB80" s="154"/>
      <c r="BC80" s="154"/>
      <c r="BD80" s="154"/>
      <c r="BE80" s="154"/>
      <c r="BF80" s="154"/>
      <c r="BG80" s="154"/>
      <c r="BS80" s="11">
        <v>2</v>
      </c>
      <c r="BT80" s="11">
        <v>44491</v>
      </c>
      <c r="BU80" s="11" t="s">
        <v>8</v>
      </c>
      <c r="BV80" s="11" t="s">
        <v>482</v>
      </c>
      <c r="BW80" s="11" t="s">
        <v>502</v>
      </c>
      <c r="BX80" s="11">
        <v>18400</v>
      </c>
      <c r="BY80" s="11">
        <v>41.7</v>
      </c>
      <c r="BZ80" s="11">
        <v>47.945</v>
      </c>
      <c r="CA80" s="11">
        <v>-3216.6708800000001</v>
      </c>
      <c r="CB80" s="11">
        <v>1.1497601918465228</v>
      </c>
      <c r="CC80" s="11">
        <v>500</v>
      </c>
      <c r="CD80" s="11">
        <v>50</v>
      </c>
      <c r="CE80" s="11">
        <v>20850</v>
      </c>
    </row>
    <row r="81" spans="1:83" hidden="1">
      <c r="A81" s="13">
        <f t="shared" si="28"/>
        <v>74</v>
      </c>
      <c r="B81" s="123">
        <v>44627</v>
      </c>
      <c r="C81" s="116" t="s">
        <v>6</v>
      </c>
      <c r="D81" s="116">
        <v>1</v>
      </c>
      <c r="E81" s="115" t="s">
        <v>632</v>
      </c>
      <c r="F81" s="116" t="s">
        <v>506</v>
      </c>
      <c r="G81" s="115"/>
      <c r="H81" s="117">
        <v>44651</v>
      </c>
      <c r="I81" s="115">
        <v>25</v>
      </c>
      <c r="J81" s="115">
        <v>32771.550000000003</v>
      </c>
      <c r="K81" s="115">
        <v>35700</v>
      </c>
      <c r="L81" s="119">
        <f t="shared" ca="1" si="212"/>
        <v>0</v>
      </c>
      <c r="M81" s="119">
        <f t="shared" si="213"/>
        <v>73211.249999999927</v>
      </c>
      <c r="N81" s="115">
        <f t="shared" si="230"/>
        <v>1.0893595206818107</v>
      </c>
      <c r="O81" s="156">
        <f t="shared" si="231"/>
        <v>24578.662500000002</v>
      </c>
      <c r="P81" s="160">
        <f t="shared" si="20"/>
        <v>819288.75000000012</v>
      </c>
      <c r="Q81" s="160" t="e">
        <f t="shared" si="232"/>
        <v>#N/A</v>
      </c>
      <c r="R81" s="153" t="e">
        <f t="shared" ca="1" si="214"/>
        <v>#VALUE!</v>
      </c>
      <c r="S81" s="119">
        <f t="shared" si="233"/>
        <v>3277.1549999999997</v>
      </c>
      <c r="T81" s="115" t="str">
        <f>VLOOKUP(TRIM($F81),Reference!B:C,2,0)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81" s="170">
        <f t="shared" ca="1" si="234"/>
        <v>0</v>
      </c>
      <c r="V81" s="120" t="str">
        <f t="shared" si="204"/>
        <v>BANKNIFTY22MARFUT</v>
      </c>
      <c r="W81" s="158" t="e">
        <f>VLOOKUP($V81,Reference!BA:BD,4,0)</f>
        <v>#N/A</v>
      </c>
      <c r="X81" s="160">
        <f t="shared" ca="1" si="205"/>
        <v>0</v>
      </c>
      <c r="Y81" s="160">
        <f t="shared" ca="1" si="206"/>
        <v>0</v>
      </c>
      <c r="Z81" s="160">
        <f t="shared" ca="1" si="215"/>
        <v>0</v>
      </c>
      <c r="AA81" s="160">
        <f t="shared" ca="1" si="207"/>
        <v>0</v>
      </c>
      <c r="AB81" s="160">
        <f t="shared" ca="1" si="208"/>
        <v>0</v>
      </c>
      <c r="AC81" s="119">
        <f t="shared" ca="1" si="209"/>
        <v>0</v>
      </c>
      <c r="AD81" s="115">
        <f t="shared" ca="1" si="235"/>
        <v>-1.4602739726027398</v>
      </c>
      <c r="AE81" s="115">
        <f t="shared" si="236"/>
        <v>20</v>
      </c>
      <c r="AF81" s="115"/>
      <c r="AG81" s="115"/>
      <c r="AH81" s="115">
        <f t="shared" si="14"/>
        <v>0</v>
      </c>
      <c r="AI81" s="115"/>
      <c r="AJ81" s="115">
        <f t="shared" si="15"/>
        <v>24.578662500000004</v>
      </c>
      <c r="AK81" s="115"/>
      <c r="AL81" s="142"/>
      <c r="AM81" s="153"/>
      <c r="AN81" s="153"/>
      <c r="AO81" s="153"/>
      <c r="AP81" s="153"/>
      <c r="AQ81" s="153"/>
      <c r="AR81" s="153"/>
      <c r="AS81" s="153"/>
      <c r="AT81" s="153"/>
      <c r="AU81" s="153"/>
      <c r="AV81" s="153"/>
      <c r="AW81" s="153"/>
      <c r="AX81" s="153"/>
      <c r="AY81" s="153"/>
      <c r="AZ81" s="153"/>
      <c r="BA81" s="153"/>
      <c r="BB81" s="153"/>
      <c r="BC81" s="153"/>
      <c r="BD81" s="153"/>
      <c r="BE81" s="153"/>
      <c r="BF81" s="153"/>
      <c r="BG81" s="153"/>
      <c r="BS81" s="13">
        <v>2</v>
      </c>
      <c r="BT81" s="123">
        <v>44491</v>
      </c>
      <c r="BU81" s="116" t="s">
        <v>8</v>
      </c>
      <c r="BV81" s="115" t="s">
        <v>482</v>
      </c>
      <c r="BW81" s="116" t="s">
        <v>502</v>
      </c>
      <c r="BX81" s="115">
        <v>18400</v>
      </c>
      <c r="BY81" s="115">
        <v>41.7</v>
      </c>
      <c r="BZ81" s="115">
        <v>47.945</v>
      </c>
      <c r="CA81" s="119">
        <v>-3216.6708800000001</v>
      </c>
      <c r="CB81" s="115">
        <v>1.1497601918465228</v>
      </c>
      <c r="CC81" s="115">
        <v>500</v>
      </c>
      <c r="CD81" s="115">
        <v>50</v>
      </c>
      <c r="CE81" s="119">
        <v>20850</v>
      </c>
    </row>
    <row r="82" spans="1:83" hidden="1">
      <c r="A82" s="13">
        <f t="shared" si="28"/>
        <v>75</v>
      </c>
      <c r="B82" s="123">
        <v>44615</v>
      </c>
      <c r="C82" s="116" t="s">
        <v>8</v>
      </c>
      <c r="D82" s="116">
        <v>1</v>
      </c>
      <c r="E82" s="115" t="s">
        <v>482</v>
      </c>
      <c r="F82" s="116" t="s">
        <v>506</v>
      </c>
      <c r="G82" s="115">
        <v>32000</v>
      </c>
      <c r="H82" s="117">
        <v>44651</v>
      </c>
      <c r="I82" s="115">
        <v>25</v>
      </c>
      <c r="J82" s="115">
        <v>163.5</v>
      </c>
      <c r="K82" s="115">
        <v>1175.75</v>
      </c>
      <c r="L82" s="119">
        <f t="shared" ca="1" si="212"/>
        <v>0</v>
      </c>
      <c r="M82" s="119">
        <f t="shared" si="213"/>
        <v>-25306.25</v>
      </c>
      <c r="N82" s="115">
        <f t="shared" si="230"/>
        <v>7.1911314984709476</v>
      </c>
      <c r="O82" s="156">
        <f t="shared" si="231"/>
        <v>204.375</v>
      </c>
      <c r="P82" s="160">
        <f t="shared" si="20"/>
        <v>4087.5</v>
      </c>
      <c r="Q82" s="160" t="e">
        <f t="shared" si="232"/>
        <v>#N/A</v>
      </c>
      <c r="R82" s="153" t="e">
        <f t="shared" ca="1" si="214"/>
        <v>#VALUE!</v>
      </c>
      <c r="S82" s="119">
        <f t="shared" si="233"/>
        <v>16.349999999999998</v>
      </c>
      <c r="T82" s="115" t="str">
        <f>VLOOKUP(TRIM($F82),Reference!B:C,2,0)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82" s="120">
        <f t="shared" ca="1" si="234"/>
        <v>0</v>
      </c>
      <c r="V82" s="120" t="str">
        <f t="shared" si="204"/>
        <v>BANKNIFTY22MAR32000PE</v>
      </c>
      <c r="W82" s="158" t="e">
        <f>VLOOKUP($V82,Reference!BA:BD,4,0)</f>
        <v>#N/A</v>
      </c>
      <c r="X82" s="160">
        <f t="shared" ca="1" si="205"/>
        <v>0</v>
      </c>
      <c r="Y82" s="160">
        <f t="shared" ca="1" si="206"/>
        <v>0</v>
      </c>
      <c r="Z82" s="160">
        <f t="shared" ca="1" si="215"/>
        <v>0</v>
      </c>
      <c r="AA82" s="160">
        <f t="shared" ca="1" si="207"/>
        <v>0</v>
      </c>
      <c r="AB82" s="160">
        <f t="shared" ca="1" si="208"/>
        <v>0</v>
      </c>
      <c r="AC82" s="119">
        <f t="shared" ca="1" si="209"/>
        <v>0</v>
      </c>
      <c r="AD82" s="115">
        <f t="shared" ca="1" si="235"/>
        <v>-1.4602739726027398</v>
      </c>
      <c r="AE82" s="115">
        <f t="shared" si="236"/>
        <v>20</v>
      </c>
      <c r="AF82" s="115"/>
      <c r="AG82" s="115"/>
      <c r="AH82" s="115">
        <f t="shared" si="14"/>
        <v>2.0437500000000002</v>
      </c>
      <c r="AI82" s="115"/>
      <c r="AJ82" s="115">
        <f t="shared" si="15"/>
        <v>0</v>
      </c>
      <c r="AK82" s="115"/>
      <c r="AM82" s="154"/>
      <c r="AN82" s="154"/>
      <c r="AO82" s="154"/>
      <c r="AP82" s="154"/>
      <c r="AQ82" s="154"/>
      <c r="AR82" s="154"/>
      <c r="AS82" s="154"/>
      <c r="AT82" s="154"/>
      <c r="AU82" s="154"/>
      <c r="AV82" s="154"/>
      <c r="AW82" s="154"/>
      <c r="AX82" s="154"/>
      <c r="AY82" s="154"/>
      <c r="AZ82" s="154"/>
      <c r="BA82" s="154"/>
      <c r="BB82" s="154"/>
      <c r="BC82" s="154"/>
      <c r="BD82" s="154"/>
      <c r="BE82" s="154"/>
      <c r="BF82" s="154"/>
      <c r="BG82" s="154"/>
      <c r="BS82" s="11">
        <v>2</v>
      </c>
      <c r="BT82" s="11">
        <v>44491</v>
      </c>
      <c r="BU82" s="11" t="s">
        <v>8</v>
      </c>
      <c r="BV82" s="11" t="s">
        <v>482</v>
      </c>
      <c r="BW82" s="11" t="s">
        <v>502</v>
      </c>
      <c r="BX82" s="11">
        <v>18400</v>
      </c>
      <c r="BY82" s="11">
        <v>41.7</v>
      </c>
      <c r="BZ82" s="11">
        <v>47.945</v>
      </c>
      <c r="CA82" s="11">
        <v>-3216.6708800000001</v>
      </c>
      <c r="CB82" s="11">
        <v>1.1497601918465228</v>
      </c>
      <c r="CC82" s="11">
        <v>500</v>
      </c>
      <c r="CD82" s="11">
        <v>50</v>
      </c>
      <c r="CE82" s="11">
        <v>20850</v>
      </c>
    </row>
    <row r="83" spans="1:83" hidden="1">
      <c r="A83" s="13">
        <f t="shared" si="28"/>
        <v>76</v>
      </c>
      <c r="B83" s="123">
        <v>44628</v>
      </c>
      <c r="C83" s="116" t="s">
        <v>8</v>
      </c>
      <c r="D83" s="116">
        <v>1</v>
      </c>
      <c r="E83" s="115" t="s">
        <v>482</v>
      </c>
      <c r="F83" s="116" t="s">
        <v>506</v>
      </c>
      <c r="G83" s="115">
        <v>31000</v>
      </c>
      <c r="H83" s="117">
        <v>44651</v>
      </c>
      <c r="I83" s="115">
        <v>50</v>
      </c>
      <c r="J83" s="115">
        <v>833.1</v>
      </c>
      <c r="K83" s="115">
        <v>108.75</v>
      </c>
      <c r="L83" s="119">
        <f t="shared" ca="1" si="212"/>
        <v>0</v>
      </c>
      <c r="M83" s="119">
        <f t="shared" si="213"/>
        <v>36217.5</v>
      </c>
      <c r="N83" s="115">
        <f t="shared" ref="N83:N85" si="237">K83/$J83</f>
        <v>0.13053655023406555</v>
      </c>
      <c r="O83" s="156">
        <f t="shared" ref="O83:O85" si="238">J83*(1+$O$6*IF(C83="B",-1,1))</f>
        <v>1041.375</v>
      </c>
      <c r="P83" s="160">
        <f t="shared" si="20"/>
        <v>41655</v>
      </c>
      <c r="Q83" s="160" t="e">
        <f t="shared" ref="Q83:Q85" si="239">(W83-J83)*I83*IF(C83="B",1,-1)*IF(K83=0,1,0)</f>
        <v>#N/A</v>
      </c>
      <c r="R83" s="153" t="e">
        <f t="shared" ca="1" si="214"/>
        <v>#VALUE!</v>
      </c>
      <c r="S83" s="119">
        <f t="shared" ref="S83:S85" si="240">(1-$S$6)*J83</f>
        <v>83.309999999999988</v>
      </c>
      <c r="T83" s="115" t="str">
        <f>VLOOKUP(TRIM($F83),Reference!B:C,2,0)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83" s="120">
        <f t="shared" ref="U83:U85" ca="1" si="241">AC83</f>
        <v>0</v>
      </c>
      <c r="V83" s="120" t="str">
        <f t="shared" si="204"/>
        <v>BANKNIFTY22MAR31000PE</v>
      </c>
      <c r="W83" s="158" t="e">
        <f>VLOOKUP($V83,Reference!BA:BD,4,0)</f>
        <v>#N/A</v>
      </c>
      <c r="X83" s="160">
        <f t="shared" ca="1" si="205"/>
        <v>0</v>
      </c>
      <c r="Y83" s="160">
        <f t="shared" ca="1" si="206"/>
        <v>0</v>
      </c>
      <c r="Z83" s="160">
        <f t="shared" ca="1" si="215"/>
        <v>0</v>
      </c>
      <c r="AA83" s="160">
        <f t="shared" ca="1" si="207"/>
        <v>0</v>
      </c>
      <c r="AB83" s="160">
        <f t="shared" ca="1" si="208"/>
        <v>0</v>
      </c>
      <c r="AC83" s="119">
        <f t="shared" ca="1" si="209"/>
        <v>0</v>
      </c>
      <c r="AD83" s="115">
        <f t="shared" ref="AD83:AD85" ca="1" si="242">(H83-TODAY())/365</f>
        <v>-1.4602739726027398</v>
      </c>
      <c r="AE83" s="115">
        <f t="shared" ref="AE83:AE85" si="243">IF(I83&lt;&gt;0,20,0)</f>
        <v>20</v>
      </c>
      <c r="AF83" s="115"/>
      <c r="AG83" s="115"/>
      <c r="AH83" s="115">
        <f t="shared" si="14"/>
        <v>20.827500000000001</v>
      </c>
      <c r="AI83" s="115"/>
      <c r="AJ83" s="115">
        <f t="shared" si="15"/>
        <v>0</v>
      </c>
      <c r="AK83" s="115"/>
      <c r="AM83" s="154"/>
      <c r="AN83" s="154"/>
      <c r="AO83" s="154"/>
      <c r="AP83" s="154"/>
      <c r="AQ83" s="154"/>
      <c r="AR83" s="154"/>
      <c r="AS83" s="154"/>
      <c r="AT83" s="154"/>
      <c r="AU83" s="154"/>
      <c r="AV83" s="154"/>
      <c r="AW83" s="154"/>
      <c r="AX83" s="154"/>
      <c r="AY83" s="154"/>
      <c r="AZ83" s="154"/>
      <c r="BA83" s="154"/>
      <c r="BB83" s="154"/>
      <c r="BC83" s="154"/>
      <c r="BD83" s="154"/>
      <c r="BE83" s="154"/>
      <c r="BF83" s="154"/>
      <c r="BG83" s="154"/>
      <c r="BS83" s="11">
        <v>2</v>
      </c>
      <c r="BT83" s="11">
        <v>44491</v>
      </c>
      <c r="BU83" s="11" t="s">
        <v>8</v>
      </c>
      <c r="BV83" s="11" t="s">
        <v>482</v>
      </c>
      <c r="BW83" s="11" t="s">
        <v>502</v>
      </c>
      <c r="BX83" s="11">
        <v>18400</v>
      </c>
      <c r="BY83" s="11">
        <v>41.7</v>
      </c>
      <c r="BZ83" s="11">
        <v>47.945</v>
      </c>
      <c r="CA83" s="11">
        <v>-3216.6708800000001</v>
      </c>
      <c r="CB83" s="11">
        <v>1.1497601918465228</v>
      </c>
      <c r="CC83" s="11">
        <v>500</v>
      </c>
      <c r="CD83" s="11">
        <v>50</v>
      </c>
      <c r="CE83" s="11">
        <v>20850</v>
      </c>
    </row>
    <row r="84" spans="1:83" hidden="1">
      <c r="A84" s="13">
        <f t="shared" si="28"/>
        <v>77</v>
      </c>
      <c r="B84" s="123">
        <v>44629</v>
      </c>
      <c r="C84" s="116" t="s">
        <v>8</v>
      </c>
      <c r="D84" s="116">
        <v>1</v>
      </c>
      <c r="E84" s="115" t="s">
        <v>481</v>
      </c>
      <c r="F84" s="116" t="s">
        <v>90</v>
      </c>
      <c r="G84" s="115">
        <v>4000</v>
      </c>
      <c r="H84" s="117">
        <v>44651</v>
      </c>
      <c r="I84" s="115">
        <v>150</v>
      </c>
      <c r="J84" s="115">
        <v>13</v>
      </c>
      <c r="K84" s="115">
        <v>0.05</v>
      </c>
      <c r="L84" s="119">
        <f t="shared" ca="1" si="212"/>
        <v>0</v>
      </c>
      <c r="M84" s="119">
        <f t="shared" si="213"/>
        <v>1942.5</v>
      </c>
      <c r="N84" s="115">
        <f t="shared" si="237"/>
        <v>3.8461538461538464E-3</v>
      </c>
      <c r="O84" s="156">
        <f t="shared" si="238"/>
        <v>16.25</v>
      </c>
      <c r="P84" s="160">
        <f t="shared" si="20"/>
        <v>1950</v>
      </c>
      <c r="Q84" s="160" t="e">
        <f t="shared" si="239"/>
        <v>#N/A</v>
      </c>
      <c r="R84" s="153" t="e">
        <f t="shared" ca="1" si="214"/>
        <v>#VALUE!</v>
      </c>
      <c r="S84" s="119">
        <f t="shared" si="240"/>
        <v>1.2999999999999998</v>
      </c>
      <c r="T84" s="115" t="e">
        <f>VLOOKUP(TRIM($F84),Reference!B:C,2,0)</f>
        <v>#VALUE!</v>
      </c>
      <c r="U84" s="120">
        <f t="shared" ca="1" si="241"/>
        <v>0</v>
      </c>
      <c r="V84" s="120" t="str">
        <f t="shared" si="204"/>
        <v>TCS22MAR4000CE</v>
      </c>
      <c r="W84" s="158" t="e">
        <f>VLOOKUP($V84,Reference!BA:BD,4,0)</f>
        <v>#N/A</v>
      </c>
      <c r="X84" s="160">
        <f t="shared" ca="1" si="205"/>
        <v>0</v>
      </c>
      <c r="Y84" s="160">
        <f t="shared" ca="1" si="206"/>
        <v>0</v>
      </c>
      <c r="Z84" s="160">
        <f t="shared" ca="1" si="215"/>
        <v>0</v>
      </c>
      <c r="AA84" s="160">
        <f t="shared" ca="1" si="207"/>
        <v>0</v>
      </c>
      <c r="AB84" s="160">
        <f t="shared" ca="1" si="208"/>
        <v>0</v>
      </c>
      <c r="AC84" s="119">
        <f t="shared" ca="1" si="209"/>
        <v>0</v>
      </c>
      <c r="AD84" s="115">
        <f t="shared" ca="1" si="242"/>
        <v>-1.4602739726027398</v>
      </c>
      <c r="AE84" s="115">
        <f t="shared" si="243"/>
        <v>20</v>
      </c>
      <c r="AF84" s="115"/>
      <c r="AG84" s="115"/>
      <c r="AH84" s="115">
        <f t="shared" si="14"/>
        <v>0.97499999999999998</v>
      </c>
      <c r="AI84" s="115"/>
      <c r="AJ84" s="115">
        <f t="shared" si="15"/>
        <v>0</v>
      </c>
      <c r="AK84" s="115"/>
      <c r="AM84" s="154"/>
      <c r="AN84" s="154"/>
      <c r="AO84" s="154"/>
      <c r="AP84" s="154"/>
      <c r="AQ84" s="154"/>
      <c r="AR84" s="154"/>
      <c r="AS84" s="154"/>
      <c r="AT84" s="154"/>
      <c r="AU84" s="154"/>
      <c r="AV84" s="154"/>
      <c r="AW84" s="154"/>
      <c r="AX84" s="154"/>
      <c r="AY84" s="154"/>
      <c r="AZ84" s="154"/>
      <c r="BA84" s="154"/>
      <c r="BB84" s="154"/>
      <c r="BC84" s="154"/>
      <c r="BD84" s="154"/>
      <c r="BE84" s="154"/>
      <c r="BF84" s="154"/>
      <c r="BG84" s="154"/>
      <c r="BS84" s="11">
        <v>2</v>
      </c>
      <c r="BT84" s="11">
        <v>44491</v>
      </c>
      <c r="BU84" s="11" t="s">
        <v>8</v>
      </c>
      <c r="BV84" s="11" t="s">
        <v>482</v>
      </c>
      <c r="BW84" s="11" t="s">
        <v>502</v>
      </c>
      <c r="BX84" s="11">
        <v>18400</v>
      </c>
      <c r="BY84" s="11">
        <v>41.7</v>
      </c>
      <c r="BZ84" s="11">
        <v>47.945</v>
      </c>
      <c r="CA84" s="11">
        <v>-3216.6708800000001</v>
      </c>
      <c r="CB84" s="11">
        <v>1.1497601918465228</v>
      </c>
      <c r="CC84" s="11">
        <v>500</v>
      </c>
      <c r="CD84" s="11">
        <v>50</v>
      </c>
      <c r="CE84" s="11">
        <v>20850</v>
      </c>
    </row>
    <row r="85" spans="1:83" hidden="1">
      <c r="A85" s="13">
        <f t="shared" ref="A85:A159" si="244">A84+1</f>
        <v>78</v>
      </c>
      <c r="B85" s="123">
        <v>44629</v>
      </c>
      <c r="C85" s="116" t="s">
        <v>6</v>
      </c>
      <c r="D85" s="116">
        <v>1</v>
      </c>
      <c r="E85" s="115" t="s">
        <v>632</v>
      </c>
      <c r="F85" s="116" t="s">
        <v>90</v>
      </c>
      <c r="G85" s="115"/>
      <c r="H85" s="117">
        <v>44651</v>
      </c>
      <c r="I85" s="115">
        <v>150</v>
      </c>
      <c r="J85" s="115">
        <v>3650.2</v>
      </c>
      <c r="K85" s="115">
        <v>3681.95</v>
      </c>
      <c r="L85" s="119">
        <f t="shared" ca="1" si="212"/>
        <v>0</v>
      </c>
      <c r="M85" s="119">
        <f t="shared" si="213"/>
        <v>4762.5</v>
      </c>
      <c r="N85" s="115">
        <f t="shared" si="237"/>
        <v>1.0086981535258341</v>
      </c>
      <c r="O85" s="156">
        <f t="shared" si="238"/>
        <v>2737.6499999999996</v>
      </c>
      <c r="P85" s="160">
        <f t="shared" ref="P85:P159" si="245">$J85*$I85*$D85</f>
        <v>547530</v>
      </c>
      <c r="Q85" s="160" t="e">
        <f t="shared" si="239"/>
        <v>#N/A</v>
      </c>
      <c r="R85" s="153" t="e">
        <f t="shared" ca="1" si="214"/>
        <v>#VALUE!</v>
      </c>
      <c r="S85" s="119">
        <f t="shared" si="240"/>
        <v>365.01999999999992</v>
      </c>
      <c r="T85" s="115" t="e">
        <f>VLOOKUP(TRIM($F85),Reference!B:C,2,0)</f>
        <v>#VALUE!</v>
      </c>
      <c r="U85" s="170">
        <f t="shared" ca="1" si="241"/>
        <v>0</v>
      </c>
      <c r="V85" s="120" t="str">
        <f t="shared" si="204"/>
        <v>TCS22MARFUT</v>
      </c>
      <c r="W85" s="158" t="e">
        <f>VLOOKUP($V85,Reference!BA:BD,4,0)</f>
        <v>#N/A</v>
      </c>
      <c r="X85" s="160">
        <f t="shared" ca="1" si="205"/>
        <v>0</v>
      </c>
      <c r="Y85" s="160">
        <f t="shared" ca="1" si="206"/>
        <v>0</v>
      </c>
      <c r="Z85" s="160">
        <f t="shared" ca="1" si="215"/>
        <v>0</v>
      </c>
      <c r="AA85" s="160">
        <f t="shared" ca="1" si="207"/>
        <v>0</v>
      </c>
      <c r="AB85" s="160">
        <f t="shared" ca="1" si="208"/>
        <v>0</v>
      </c>
      <c r="AC85" s="119">
        <f t="shared" ca="1" si="209"/>
        <v>0</v>
      </c>
      <c r="AD85" s="115">
        <f t="shared" ca="1" si="242"/>
        <v>-1.4602739726027398</v>
      </c>
      <c r="AE85" s="115">
        <f t="shared" si="243"/>
        <v>20</v>
      </c>
      <c r="AF85" s="115"/>
      <c r="AG85" s="115"/>
      <c r="AH85" s="115">
        <f t="shared" ref="AH85:AH159" si="246">0.05%*$P85*(IF($C85="B",0,1))</f>
        <v>0</v>
      </c>
      <c r="AI85" s="115"/>
      <c r="AJ85" s="115">
        <f t="shared" ref="AJ85:AJ159" si="247">300/10000000*$P85*(IF($C85="B",1,0))</f>
        <v>16.425900000000002</v>
      </c>
      <c r="AK85" s="115"/>
      <c r="AL85" s="142"/>
      <c r="AM85" s="153"/>
      <c r="AN85" s="153"/>
      <c r="AO85" s="153"/>
      <c r="AP85" s="153"/>
      <c r="AQ85" s="153"/>
      <c r="AR85" s="153"/>
      <c r="AS85" s="153"/>
      <c r="AT85" s="153"/>
      <c r="AU85" s="153"/>
      <c r="AV85" s="153"/>
      <c r="AW85" s="153"/>
      <c r="AX85" s="153"/>
      <c r="AY85" s="153"/>
      <c r="AZ85" s="153"/>
      <c r="BA85" s="153"/>
      <c r="BB85" s="153"/>
      <c r="BC85" s="153"/>
      <c r="BD85" s="153"/>
      <c r="BE85" s="153"/>
      <c r="BF85" s="153"/>
      <c r="BG85" s="153"/>
      <c r="BS85" s="13">
        <v>2</v>
      </c>
      <c r="BT85" s="123">
        <v>44491</v>
      </c>
      <c r="BU85" s="116" t="s">
        <v>8</v>
      </c>
      <c r="BV85" s="115" t="s">
        <v>482</v>
      </c>
      <c r="BW85" s="116" t="s">
        <v>502</v>
      </c>
      <c r="BX85" s="115">
        <v>18400</v>
      </c>
      <c r="BY85" s="115">
        <v>41.7</v>
      </c>
      <c r="BZ85" s="115">
        <v>47.945</v>
      </c>
      <c r="CA85" s="119">
        <v>-3216.6708800000001</v>
      </c>
      <c r="CB85" s="115">
        <v>1.1497601918465228</v>
      </c>
      <c r="CC85" s="115">
        <v>500</v>
      </c>
      <c r="CD85" s="115">
        <v>50</v>
      </c>
      <c r="CE85" s="119">
        <v>20850</v>
      </c>
    </row>
    <row r="86" spans="1:83" hidden="1">
      <c r="A86" s="13">
        <f t="shared" si="28"/>
        <v>79</v>
      </c>
      <c r="B86" s="123">
        <v>44629</v>
      </c>
      <c r="C86" s="116" t="s">
        <v>8</v>
      </c>
      <c r="D86" s="116">
        <v>1</v>
      </c>
      <c r="E86" s="115" t="s">
        <v>481</v>
      </c>
      <c r="F86" s="116" t="s">
        <v>284</v>
      </c>
      <c r="G86" s="115">
        <v>480</v>
      </c>
      <c r="H86" s="117">
        <v>44651</v>
      </c>
      <c r="I86" s="115">
        <v>2850</v>
      </c>
      <c r="J86" s="115">
        <v>3.1</v>
      </c>
      <c r="K86" s="115">
        <v>0.05</v>
      </c>
      <c r="L86" s="119">
        <f t="shared" ca="1" si="212"/>
        <v>0</v>
      </c>
      <c r="M86" s="119">
        <f t="shared" si="213"/>
        <v>8692.5</v>
      </c>
      <c r="N86" s="115">
        <f t="shared" ref="N86:N87" si="248">K86/$J86</f>
        <v>1.6129032258064516E-2</v>
      </c>
      <c r="O86" s="156">
        <f t="shared" ref="O86:O87" si="249">J86*(1+$O$6*IF(C86="B",-1,1))</f>
        <v>3.875</v>
      </c>
      <c r="P86" s="160">
        <f t="shared" si="20"/>
        <v>8835</v>
      </c>
      <c r="Q86" s="160" t="e">
        <f t="shared" ref="Q86:Q87" si="250">(W86-J86)*I86*IF(C86="B",1,-1)*IF(K86=0,1,0)</f>
        <v>#N/A</v>
      </c>
      <c r="R86" s="153" t="e">
        <f t="shared" ca="1" si="214"/>
        <v>#VALUE!</v>
      </c>
      <c r="S86" s="119">
        <f t="shared" ref="S86:S87" si="251">(1-$S$6)*J86</f>
        <v>0.30999999999999994</v>
      </c>
      <c r="T86" s="115" t="e">
        <f>VLOOKUP(TRIM($F86),Reference!B:C,2,0)</f>
        <v>#VALUE!</v>
      </c>
      <c r="U86" s="120">
        <f t="shared" ref="U86:U87" ca="1" si="252">AC86</f>
        <v>0</v>
      </c>
      <c r="V86" s="120" t="str">
        <f t="shared" si="204"/>
        <v>TATAMOTORS22MAR480CE</v>
      </c>
      <c r="W86" s="158" t="e">
        <f>VLOOKUP($V86,Reference!BA:BD,4,0)</f>
        <v>#N/A</v>
      </c>
      <c r="X86" s="160">
        <f t="shared" ca="1" si="205"/>
        <v>0</v>
      </c>
      <c r="Y86" s="160">
        <f t="shared" ca="1" si="206"/>
        <v>0</v>
      </c>
      <c r="Z86" s="160">
        <f t="shared" ca="1" si="215"/>
        <v>0</v>
      </c>
      <c r="AA86" s="160">
        <f t="shared" ca="1" si="207"/>
        <v>0</v>
      </c>
      <c r="AB86" s="160">
        <f t="shared" ca="1" si="208"/>
        <v>0</v>
      </c>
      <c r="AC86" s="119">
        <f t="shared" ca="1" si="209"/>
        <v>0</v>
      </c>
      <c r="AD86" s="115">
        <f t="shared" ref="AD86:AD87" ca="1" si="253">(H86-TODAY())/365</f>
        <v>-1.4602739726027398</v>
      </c>
      <c r="AE86" s="115">
        <f t="shared" ref="AE86:AE87" si="254">IF(I86&lt;&gt;0,20,0)</f>
        <v>20</v>
      </c>
      <c r="AF86" s="115"/>
      <c r="AG86" s="115"/>
      <c r="AH86" s="115">
        <f t="shared" si="14"/>
        <v>4.4175000000000004</v>
      </c>
      <c r="AI86" s="115"/>
      <c r="AJ86" s="115">
        <f t="shared" si="15"/>
        <v>0</v>
      </c>
      <c r="AK86" s="115"/>
      <c r="AM86" s="154"/>
      <c r="AN86" s="154"/>
      <c r="AO86" s="154"/>
      <c r="AP86" s="154"/>
      <c r="AQ86" s="154"/>
      <c r="AR86" s="154"/>
      <c r="AS86" s="154"/>
      <c r="AT86" s="154"/>
      <c r="AU86" s="154"/>
      <c r="AV86" s="154"/>
      <c r="AW86" s="154"/>
      <c r="AX86" s="154"/>
      <c r="AY86" s="154"/>
      <c r="AZ86" s="154"/>
      <c r="BA86" s="154"/>
      <c r="BB86" s="154"/>
      <c r="BC86" s="154"/>
      <c r="BD86" s="154"/>
      <c r="BE86" s="154"/>
      <c r="BF86" s="154"/>
      <c r="BG86" s="154"/>
      <c r="BS86" s="11">
        <v>2</v>
      </c>
      <c r="BT86" s="11">
        <v>44491</v>
      </c>
      <c r="BU86" s="11" t="s">
        <v>8</v>
      </c>
      <c r="BV86" s="11" t="s">
        <v>482</v>
      </c>
      <c r="BW86" s="11" t="s">
        <v>502</v>
      </c>
      <c r="BX86" s="11">
        <v>18400</v>
      </c>
      <c r="BY86" s="11">
        <v>41.7</v>
      </c>
      <c r="BZ86" s="11">
        <v>47.945</v>
      </c>
      <c r="CA86" s="11">
        <v>-3216.6708800000001</v>
      </c>
      <c r="CB86" s="11">
        <v>1.1497601918465228</v>
      </c>
      <c r="CC86" s="11">
        <v>500</v>
      </c>
      <c r="CD86" s="11">
        <v>50</v>
      </c>
      <c r="CE86" s="11">
        <v>20850</v>
      </c>
    </row>
    <row r="87" spans="1:83" hidden="1">
      <c r="A87" s="13">
        <f t="shared" si="244"/>
        <v>80</v>
      </c>
      <c r="B87" s="123">
        <v>44629</v>
      </c>
      <c r="C87" s="116" t="s">
        <v>6</v>
      </c>
      <c r="D87" s="116">
        <v>1</v>
      </c>
      <c r="E87" s="115" t="s">
        <v>632</v>
      </c>
      <c r="F87" s="116" t="s">
        <v>284</v>
      </c>
      <c r="G87" s="115"/>
      <c r="H87" s="117">
        <v>44651</v>
      </c>
      <c r="I87" s="115">
        <v>2850</v>
      </c>
      <c r="J87" s="115">
        <v>406.3</v>
      </c>
      <c r="K87" s="115">
        <v>408.53</v>
      </c>
      <c r="L87" s="119">
        <f t="shared" ca="1" si="212"/>
        <v>0</v>
      </c>
      <c r="M87" s="119">
        <f t="shared" si="213"/>
        <v>6355.49999999989</v>
      </c>
      <c r="N87" s="115">
        <f t="shared" si="248"/>
        <v>1.0054885552547377</v>
      </c>
      <c r="O87" s="156">
        <f t="shared" si="249"/>
        <v>304.72500000000002</v>
      </c>
      <c r="P87" s="160">
        <f t="shared" si="245"/>
        <v>1157955</v>
      </c>
      <c r="Q87" s="160" t="e">
        <f t="shared" si="250"/>
        <v>#N/A</v>
      </c>
      <c r="R87" s="153" t="e">
        <f t="shared" ca="1" si="214"/>
        <v>#VALUE!</v>
      </c>
      <c r="S87" s="119">
        <f t="shared" si="251"/>
        <v>40.629999999999995</v>
      </c>
      <c r="T87" s="115" t="e">
        <f>VLOOKUP(TRIM($F87),Reference!B:C,2,0)</f>
        <v>#VALUE!</v>
      </c>
      <c r="U87" s="170">
        <f t="shared" ca="1" si="252"/>
        <v>0</v>
      </c>
      <c r="V87" s="120" t="str">
        <f t="shared" si="204"/>
        <v>TATAMOTORS22MARFUT</v>
      </c>
      <c r="W87" s="158" t="e">
        <f>VLOOKUP($V87,Reference!BA:BD,4,0)</f>
        <v>#N/A</v>
      </c>
      <c r="X87" s="160">
        <f t="shared" ca="1" si="205"/>
        <v>0</v>
      </c>
      <c r="Y87" s="160">
        <f t="shared" ca="1" si="206"/>
        <v>0</v>
      </c>
      <c r="Z87" s="160">
        <f t="shared" ca="1" si="215"/>
        <v>0</v>
      </c>
      <c r="AA87" s="160">
        <f t="shared" ca="1" si="207"/>
        <v>0</v>
      </c>
      <c r="AB87" s="160">
        <f t="shared" ca="1" si="208"/>
        <v>0</v>
      </c>
      <c r="AC87" s="119">
        <f t="shared" ca="1" si="209"/>
        <v>0</v>
      </c>
      <c r="AD87" s="115">
        <f t="shared" ca="1" si="253"/>
        <v>-1.4602739726027398</v>
      </c>
      <c r="AE87" s="115">
        <f t="shared" si="254"/>
        <v>20</v>
      </c>
      <c r="AF87" s="115"/>
      <c r="AG87" s="115"/>
      <c r="AH87" s="115">
        <f t="shared" si="246"/>
        <v>0</v>
      </c>
      <c r="AI87" s="115"/>
      <c r="AJ87" s="115">
        <f t="shared" si="247"/>
        <v>34.73865</v>
      </c>
      <c r="AK87" s="115"/>
      <c r="AL87" s="142"/>
      <c r="AM87" s="153"/>
      <c r="AN87" s="153"/>
      <c r="AO87" s="153"/>
      <c r="AP87" s="153"/>
      <c r="AQ87" s="153"/>
      <c r="AR87" s="153"/>
      <c r="AS87" s="153"/>
      <c r="AT87" s="153"/>
      <c r="AU87" s="153"/>
      <c r="AV87" s="153"/>
      <c r="AW87" s="153"/>
      <c r="AX87" s="153"/>
      <c r="AY87" s="153"/>
      <c r="AZ87" s="153"/>
      <c r="BA87" s="153"/>
      <c r="BB87" s="153"/>
      <c r="BC87" s="153"/>
      <c r="BD87" s="153"/>
      <c r="BE87" s="153"/>
      <c r="BF87" s="153"/>
      <c r="BG87" s="153"/>
      <c r="BS87" s="13">
        <v>2</v>
      </c>
      <c r="BT87" s="123">
        <v>44491</v>
      </c>
      <c r="BU87" s="116" t="s">
        <v>8</v>
      </c>
      <c r="BV87" s="115" t="s">
        <v>482</v>
      </c>
      <c r="BW87" s="116" t="s">
        <v>502</v>
      </c>
      <c r="BX87" s="115">
        <v>18400</v>
      </c>
      <c r="BY87" s="115">
        <v>41.7</v>
      </c>
      <c r="BZ87" s="115">
        <v>47.945</v>
      </c>
      <c r="CA87" s="119">
        <v>-3216.6708800000001</v>
      </c>
      <c r="CB87" s="115">
        <v>1.1497601918465228</v>
      </c>
      <c r="CC87" s="115">
        <v>500</v>
      </c>
      <c r="CD87" s="115">
        <v>50</v>
      </c>
      <c r="CE87" s="119">
        <v>20850</v>
      </c>
    </row>
    <row r="88" spans="1:83" hidden="1">
      <c r="A88" s="13">
        <f t="shared" si="244"/>
        <v>81</v>
      </c>
      <c r="B88" s="123">
        <v>44629</v>
      </c>
      <c r="C88" s="116" t="s">
        <v>6</v>
      </c>
      <c r="D88" s="116">
        <v>1</v>
      </c>
      <c r="E88" s="115" t="s">
        <v>632</v>
      </c>
      <c r="F88" s="116" t="s">
        <v>284</v>
      </c>
      <c r="G88" s="115"/>
      <c r="H88" s="117">
        <v>44651</v>
      </c>
      <c r="I88" s="115">
        <v>2850</v>
      </c>
      <c r="J88" s="115">
        <v>408.1</v>
      </c>
      <c r="K88" s="115">
        <v>430.4</v>
      </c>
      <c r="L88" s="119">
        <f t="shared" ca="1" si="212"/>
        <v>0</v>
      </c>
      <c r="M88" s="119">
        <f t="shared" si="213"/>
        <v>63554.999999999869</v>
      </c>
      <c r="N88" s="115">
        <f t="shared" ref="N88:N90" si="255">K88/$J88</f>
        <v>1.0546434697378093</v>
      </c>
      <c r="O88" s="156">
        <f t="shared" ref="O88:O90" si="256">J88*(1+$O$6*IF(C88="B",-1,1))</f>
        <v>306.07500000000005</v>
      </c>
      <c r="P88" s="160">
        <f t="shared" si="245"/>
        <v>1163085</v>
      </c>
      <c r="Q88" s="160" t="e">
        <f t="shared" ref="Q88:Q90" si="257">(W88-J88)*I88*IF(C88="B",1,-1)*IF(K88=0,1,0)</f>
        <v>#N/A</v>
      </c>
      <c r="R88" s="153" t="e">
        <f t="shared" ca="1" si="214"/>
        <v>#VALUE!</v>
      </c>
      <c r="S88" s="119">
        <f t="shared" ref="S88:S90" si="258">(1-$S$6)*J88</f>
        <v>40.809999999999995</v>
      </c>
      <c r="T88" s="115" t="e">
        <f>VLOOKUP(TRIM($F88),Reference!B:C,2,0)</f>
        <v>#VALUE!</v>
      </c>
      <c r="U88" s="170">
        <f t="shared" ref="U88:U90" ca="1" si="259">AC88</f>
        <v>0</v>
      </c>
      <c r="V88" s="120" t="str">
        <f t="shared" si="204"/>
        <v>TATAMOTORS22MARFUT</v>
      </c>
      <c r="W88" s="158" t="e">
        <f>VLOOKUP($V88,Reference!BA:BD,4,0)</f>
        <v>#N/A</v>
      </c>
      <c r="X88" s="160">
        <f t="shared" ca="1" si="205"/>
        <v>0</v>
      </c>
      <c r="Y88" s="160">
        <f t="shared" ca="1" si="206"/>
        <v>0</v>
      </c>
      <c r="Z88" s="160">
        <f t="shared" ca="1" si="215"/>
        <v>0</v>
      </c>
      <c r="AA88" s="160">
        <f t="shared" ca="1" si="207"/>
        <v>0</v>
      </c>
      <c r="AB88" s="160">
        <f t="shared" ca="1" si="208"/>
        <v>0</v>
      </c>
      <c r="AC88" s="119">
        <f t="shared" ca="1" si="209"/>
        <v>0</v>
      </c>
      <c r="AD88" s="115">
        <f t="shared" ref="AD88:AD90" ca="1" si="260">(H88-TODAY())/365</f>
        <v>-1.4602739726027398</v>
      </c>
      <c r="AE88" s="115">
        <f t="shared" ref="AE88:AE90" si="261">IF(I88&lt;&gt;0,20,0)</f>
        <v>20</v>
      </c>
      <c r="AF88" s="115"/>
      <c r="AG88" s="115"/>
      <c r="AH88" s="115">
        <f t="shared" si="246"/>
        <v>0</v>
      </c>
      <c r="AI88" s="115"/>
      <c r="AJ88" s="115">
        <f t="shared" si="247"/>
        <v>34.89255</v>
      </c>
      <c r="AK88" s="115"/>
      <c r="AL88" s="142"/>
      <c r="AM88" s="153"/>
      <c r="AN88" s="153"/>
      <c r="AO88" s="153"/>
      <c r="AP88" s="153"/>
      <c r="AQ88" s="153"/>
      <c r="AR88" s="153"/>
      <c r="AS88" s="153"/>
      <c r="AT88" s="153"/>
      <c r="AU88" s="153"/>
      <c r="AV88" s="153"/>
      <c r="AW88" s="153"/>
      <c r="AX88" s="153"/>
      <c r="AY88" s="153"/>
      <c r="AZ88" s="153"/>
      <c r="BA88" s="153"/>
      <c r="BB88" s="153"/>
      <c r="BC88" s="153"/>
      <c r="BD88" s="153"/>
      <c r="BE88" s="153"/>
      <c r="BF88" s="153"/>
      <c r="BG88" s="153"/>
      <c r="BS88" s="13">
        <v>2</v>
      </c>
      <c r="BT88" s="123">
        <v>44491</v>
      </c>
      <c r="BU88" s="116" t="s">
        <v>8</v>
      </c>
      <c r="BV88" s="115" t="s">
        <v>482</v>
      </c>
      <c r="BW88" s="116" t="s">
        <v>502</v>
      </c>
      <c r="BX88" s="115">
        <v>18400</v>
      </c>
      <c r="BY88" s="115">
        <v>41.7</v>
      </c>
      <c r="BZ88" s="115">
        <v>47.945</v>
      </c>
      <c r="CA88" s="119">
        <v>-3216.6708800000001</v>
      </c>
      <c r="CB88" s="115">
        <v>1.1497601918465228</v>
      </c>
      <c r="CC88" s="115">
        <v>500</v>
      </c>
      <c r="CD88" s="115">
        <v>50</v>
      </c>
      <c r="CE88" s="119">
        <v>20850</v>
      </c>
    </row>
    <row r="89" spans="1:83" hidden="1">
      <c r="A89" s="13">
        <f t="shared" si="244"/>
        <v>82</v>
      </c>
      <c r="B89" s="123">
        <v>44635</v>
      </c>
      <c r="C89" s="116" t="s">
        <v>6</v>
      </c>
      <c r="D89" s="116">
        <v>1</v>
      </c>
      <c r="E89" s="115" t="s">
        <v>632</v>
      </c>
      <c r="F89" s="116" t="s">
        <v>126</v>
      </c>
      <c r="G89" s="115"/>
      <c r="H89" s="117">
        <v>44651</v>
      </c>
      <c r="I89" s="115">
        <v>3750</v>
      </c>
      <c r="J89" s="115">
        <v>221.5</v>
      </c>
      <c r="K89" s="115">
        <v>227</v>
      </c>
      <c r="L89" s="119">
        <f t="shared" ca="1" si="212"/>
        <v>0</v>
      </c>
      <c r="M89" s="119">
        <f t="shared" si="213"/>
        <v>20625</v>
      </c>
      <c r="N89" s="115">
        <f t="shared" si="255"/>
        <v>1.0248306997742664</v>
      </c>
      <c r="O89" s="156">
        <f t="shared" si="256"/>
        <v>166.125</v>
      </c>
      <c r="P89" s="160">
        <f t="shared" si="245"/>
        <v>830625</v>
      </c>
      <c r="Q89" s="160" t="e">
        <f t="shared" si="257"/>
        <v>#N/A</v>
      </c>
      <c r="R89" s="153" t="e">
        <f t="shared" ca="1" si="214"/>
        <v>#VALUE!</v>
      </c>
      <c r="S89" s="119">
        <f t="shared" si="258"/>
        <v>22.149999999999995</v>
      </c>
      <c r="T89" s="115" t="e">
        <f>VLOOKUP(TRIM($F89),Reference!B:C,2,0)</f>
        <v>#VALUE!</v>
      </c>
      <c r="U89" s="170">
        <f t="shared" ca="1" si="259"/>
        <v>0</v>
      </c>
      <c r="V89" s="120" t="str">
        <f t="shared" si="204"/>
        <v>IEX22MARFUT</v>
      </c>
      <c r="W89" s="158" t="e">
        <f>VLOOKUP($V89,Reference!BA:BD,4,0)</f>
        <v>#N/A</v>
      </c>
      <c r="X89" s="160">
        <f t="shared" ca="1" si="205"/>
        <v>0</v>
      </c>
      <c r="Y89" s="160">
        <f t="shared" ca="1" si="206"/>
        <v>0</v>
      </c>
      <c r="Z89" s="160">
        <f t="shared" ca="1" si="215"/>
        <v>0</v>
      </c>
      <c r="AA89" s="160">
        <f t="shared" ca="1" si="207"/>
        <v>0</v>
      </c>
      <c r="AB89" s="160">
        <f t="shared" ca="1" si="208"/>
        <v>0</v>
      </c>
      <c r="AC89" s="119">
        <f t="shared" ca="1" si="209"/>
        <v>0</v>
      </c>
      <c r="AD89" s="115">
        <f t="shared" ca="1" si="260"/>
        <v>-1.4602739726027398</v>
      </c>
      <c r="AE89" s="115">
        <f t="shared" si="261"/>
        <v>20</v>
      </c>
      <c r="AF89" s="115"/>
      <c r="AG89" s="115"/>
      <c r="AH89" s="115">
        <f t="shared" si="246"/>
        <v>0</v>
      </c>
      <c r="AI89" s="115"/>
      <c r="AJ89" s="115">
        <f t="shared" si="247"/>
        <v>24.918749999999999</v>
      </c>
      <c r="AK89" s="115"/>
      <c r="AL89" s="142"/>
      <c r="AM89" s="153"/>
      <c r="AN89" s="153"/>
      <c r="AO89" s="153"/>
      <c r="AP89" s="153"/>
      <c r="AQ89" s="153"/>
      <c r="AR89" s="153"/>
      <c r="AS89" s="153"/>
      <c r="AT89" s="153"/>
      <c r="AU89" s="153"/>
      <c r="AV89" s="153"/>
      <c r="AW89" s="153"/>
      <c r="AX89" s="153"/>
      <c r="AY89" s="153"/>
      <c r="AZ89" s="153"/>
      <c r="BA89" s="153"/>
      <c r="BB89" s="153"/>
      <c r="BC89" s="153"/>
      <c r="BD89" s="153"/>
      <c r="BE89" s="153"/>
      <c r="BF89" s="153"/>
      <c r="BG89" s="153"/>
      <c r="BS89" s="13">
        <v>2</v>
      </c>
      <c r="BT89" s="123">
        <v>44491</v>
      </c>
      <c r="BU89" s="116" t="s">
        <v>8</v>
      </c>
      <c r="BV89" s="115" t="s">
        <v>482</v>
      </c>
      <c r="BW89" s="116" t="s">
        <v>502</v>
      </c>
      <c r="BX89" s="115">
        <v>18400</v>
      </c>
      <c r="BY89" s="115">
        <v>41.7</v>
      </c>
      <c r="BZ89" s="115">
        <v>47.945</v>
      </c>
      <c r="CA89" s="119">
        <v>-3216.6708800000001</v>
      </c>
      <c r="CB89" s="115">
        <v>1.1497601918465228</v>
      </c>
      <c r="CC89" s="115">
        <v>500</v>
      </c>
      <c r="CD89" s="115">
        <v>50</v>
      </c>
      <c r="CE89" s="119">
        <v>20850</v>
      </c>
    </row>
    <row r="90" spans="1:83" hidden="1">
      <c r="A90" s="13">
        <f t="shared" si="244"/>
        <v>83</v>
      </c>
      <c r="B90" s="123">
        <v>44635</v>
      </c>
      <c r="C90" s="116" t="s">
        <v>6</v>
      </c>
      <c r="D90" s="116">
        <v>1</v>
      </c>
      <c r="E90" s="115" t="s">
        <v>632</v>
      </c>
      <c r="F90" s="116" t="s">
        <v>506</v>
      </c>
      <c r="G90" s="115"/>
      <c r="H90" s="117">
        <v>44651</v>
      </c>
      <c r="I90" s="115">
        <v>25</v>
      </c>
      <c r="J90" s="115">
        <v>35050</v>
      </c>
      <c r="K90" s="115">
        <v>35700</v>
      </c>
      <c r="L90" s="119">
        <f t="shared" ca="1" si="212"/>
        <v>0</v>
      </c>
      <c r="M90" s="119">
        <f t="shared" si="213"/>
        <v>16250</v>
      </c>
      <c r="N90" s="115">
        <f t="shared" si="255"/>
        <v>1.0185449358059915</v>
      </c>
      <c r="O90" s="156">
        <f t="shared" si="256"/>
        <v>26287.5</v>
      </c>
      <c r="P90" s="160">
        <f t="shared" si="245"/>
        <v>876250</v>
      </c>
      <c r="Q90" s="160" t="e">
        <f t="shared" si="257"/>
        <v>#N/A</v>
      </c>
      <c r="R90" s="153" t="e">
        <f t="shared" ca="1" si="214"/>
        <v>#VALUE!</v>
      </c>
      <c r="S90" s="119">
        <f t="shared" si="258"/>
        <v>3504.9999999999991</v>
      </c>
      <c r="T90" s="115" t="str">
        <f>VLOOKUP(TRIM($F90),Reference!B:C,2,0)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90" s="170">
        <f t="shared" ca="1" si="259"/>
        <v>0</v>
      </c>
      <c r="V90" s="120" t="str">
        <f t="shared" si="204"/>
        <v>BANKNIFTY22MARFUT</v>
      </c>
      <c r="W90" s="158" t="e">
        <f>VLOOKUP($V90,Reference!BA:BD,4,0)</f>
        <v>#N/A</v>
      </c>
      <c r="X90" s="160">
        <f t="shared" ca="1" si="205"/>
        <v>0</v>
      </c>
      <c r="Y90" s="160">
        <f t="shared" ca="1" si="206"/>
        <v>0</v>
      </c>
      <c r="Z90" s="160">
        <f t="shared" ca="1" si="215"/>
        <v>0</v>
      </c>
      <c r="AA90" s="160">
        <f t="shared" ca="1" si="207"/>
        <v>0</v>
      </c>
      <c r="AB90" s="160">
        <f t="shared" ca="1" si="208"/>
        <v>0</v>
      </c>
      <c r="AC90" s="119">
        <f t="shared" ca="1" si="209"/>
        <v>0</v>
      </c>
      <c r="AD90" s="115">
        <f t="shared" ca="1" si="260"/>
        <v>-1.4602739726027398</v>
      </c>
      <c r="AE90" s="115">
        <f t="shared" si="261"/>
        <v>20</v>
      </c>
      <c r="AF90" s="115"/>
      <c r="AG90" s="115"/>
      <c r="AH90" s="115">
        <f t="shared" si="246"/>
        <v>0</v>
      </c>
      <c r="AI90" s="115"/>
      <c r="AJ90" s="115">
        <f t="shared" si="247"/>
        <v>26.287500000000001</v>
      </c>
      <c r="AK90" s="115"/>
      <c r="AL90" s="142"/>
      <c r="AM90" s="153"/>
      <c r="AN90" s="153"/>
      <c r="AO90" s="153"/>
      <c r="AP90" s="153"/>
      <c r="AQ90" s="153"/>
      <c r="AR90" s="153"/>
      <c r="AS90" s="153"/>
      <c r="AT90" s="153"/>
      <c r="AU90" s="153"/>
      <c r="AV90" s="153"/>
      <c r="AW90" s="153"/>
      <c r="AX90" s="153"/>
      <c r="AY90" s="153"/>
      <c r="AZ90" s="153"/>
      <c r="BA90" s="153"/>
      <c r="BB90" s="153"/>
      <c r="BC90" s="153"/>
      <c r="BD90" s="153"/>
      <c r="BE90" s="153"/>
      <c r="BF90" s="153"/>
      <c r="BG90" s="153"/>
      <c r="BS90" s="13">
        <v>2</v>
      </c>
      <c r="BT90" s="123">
        <v>44491</v>
      </c>
      <c r="BU90" s="116" t="s">
        <v>8</v>
      </c>
      <c r="BV90" s="115" t="s">
        <v>482</v>
      </c>
      <c r="BW90" s="116" t="s">
        <v>502</v>
      </c>
      <c r="BX90" s="115">
        <v>18400</v>
      </c>
      <c r="BY90" s="115">
        <v>41.7</v>
      </c>
      <c r="BZ90" s="115">
        <v>47.945</v>
      </c>
      <c r="CA90" s="119">
        <v>-3216.6708800000001</v>
      </c>
      <c r="CB90" s="115">
        <v>1.1497601918465228</v>
      </c>
      <c r="CC90" s="115">
        <v>500</v>
      </c>
      <c r="CD90" s="115">
        <v>50</v>
      </c>
      <c r="CE90" s="119">
        <v>20850</v>
      </c>
    </row>
    <row r="91" spans="1:83" hidden="1">
      <c r="A91" s="13">
        <f t="shared" si="244"/>
        <v>84</v>
      </c>
      <c r="B91" s="123">
        <v>44635</v>
      </c>
      <c r="C91" s="116" t="s">
        <v>6</v>
      </c>
      <c r="D91" s="116">
        <v>1</v>
      </c>
      <c r="E91" s="115" t="s">
        <v>632</v>
      </c>
      <c r="F91" s="116" t="s">
        <v>502</v>
      </c>
      <c r="G91" s="115"/>
      <c r="H91" s="117">
        <v>44651</v>
      </c>
      <c r="I91" s="115">
        <v>50</v>
      </c>
      <c r="J91" s="115">
        <v>16674</v>
      </c>
      <c r="K91" s="115">
        <v>17442.650000000001</v>
      </c>
      <c r="L91" s="119">
        <f t="shared" ca="1" si="212"/>
        <v>0</v>
      </c>
      <c r="M91" s="119">
        <f t="shared" si="213"/>
        <v>38432.500000000073</v>
      </c>
      <c r="N91" s="115">
        <f t="shared" ref="N91:N93" si="262">K91/$J91</f>
        <v>1.0460987165647115</v>
      </c>
      <c r="O91" s="156">
        <f t="shared" ref="O91:O93" si="263">J91*(1+$O$6*IF(C91="B",-1,1))</f>
        <v>12505.5</v>
      </c>
      <c r="P91" s="160">
        <f t="shared" si="245"/>
        <v>833700</v>
      </c>
      <c r="Q91" s="160" t="e">
        <f t="shared" ref="Q91:Q93" si="264">(W91-J91)*I91*IF(C91="B",1,-1)*IF(K91=0,1,0)</f>
        <v>#N/A</v>
      </c>
      <c r="R91" s="153" t="e">
        <f t="shared" ca="1" si="214"/>
        <v>#VALUE!</v>
      </c>
      <c r="S91" s="119">
        <f t="shared" ref="S91:S93" si="265">(1-$S$6)*J91</f>
        <v>1667.3999999999996</v>
      </c>
      <c r="T91" s="115" t="str">
        <f>VLOOKUP(TRIM($F91),Reference!B:C,2,0)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91" s="170">
        <f t="shared" ref="U91:U93" ca="1" si="266">AC91</f>
        <v>0</v>
      </c>
      <c r="V91" s="120" t="str">
        <f t="shared" si="204"/>
        <v>NIFTY22MARFUT</v>
      </c>
      <c r="W91" s="158" t="e">
        <f>VLOOKUP($V91,Reference!BA:BD,4,0)</f>
        <v>#N/A</v>
      </c>
      <c r="X91" s="160">
        <f t="shared" ca="1" si="205"/>
        <v>0</v>
      </c>
      <c r="Y91" s="160">
        <f t="shared" ca="1" si="206"/>
        <v>0</v>
      </c>
      <c r="Z91" s="160">
        <f t="shared" ca="1" si="215"/>
        <v>0</v>
      </c>
      <c r="AA91" s="160">
        <f t="shared" ca="1" si="207"/>
        <v>0</v>
      </c>
      <c r="AB91" s="160">
        <f t="shared" ca="1" si="208"/>
        <v>0</v>
      </c>
      <c r="AC91" s="119">
        <f t="shared" ca="1" si="209"/>
        <v>0</v>
      </c>
      <c r="AD91" s="115">
        <f t="shared" ref="AD91:AD93" ca="1" si="267">(H91-TODAY())/365</f>
        <v>-1.4602739726027398</v>
      </c>
      <c r="AE91" s="115">
        <f t="shared" ref="AE91:AE93" si="268">IF(I91&lt;&gt;0,20,0)</f>
        <v>20</v>
      </c>
      <c r="AF91" s="115"/>
      <c r="AG91" s="115"/>
      <c r="AH91" s="115">
        <f t="shared" si="246"/>
        <v>0</v>
      </c>
      <c r="AI91" s="115"/>
      <c r="AJ91" s="115">
        <f t="shared" si="247"/>
        <v>25.010999999999999</v>
      </c>
      <c r="AK91" s="115"/>
      <c r="AL91" s="142"/>
      <c r="AM91" s="153"/>
      <c r="AN91" s="153"/>
      <c r="AO91" s="153"/>
      <c r="AP91" s="153"/>
      <c r="AQ91" s="153"/>
      <c r="AR91" s="153"/>
      <c r="AS91" s="153"/>
      <c r="AT91" s="153"/>
      <c r="AU91" s="153"/>
      <c r="AV91" s="153"/>
      <c r="AW91" s="153"/>
      <c r="AX91" s="153"/>
      <c r="AY91" s="153"/>
      <c r="AZ91" s="153"/>
      <c r="BA91" s="153"/>
      <c r="BB91" s="153"/>
      <c r="BC91" s="153"/>
      <c r="BD91" s="153"/>
      <c r="BE91" s="153"/>
      <c r="BF91" s="153"/>
      <c r="BG91" s="153"/>
      <c r="BS91" s="13">
        <v>2</v>
      </c>
      <c r="BT91" s="123">
        <v>44491</v>
      </c>
      <c r="BU91" s="116" t="s">
        <v>8</v>
      </c>
      <c r="BV91" s="115" t="s">
        <v>482</v>
      </c>
      <c r="BW91" s="116" t="s">
        <v>502</v>
      </c>
      <c r="BX91" s="115">
        <v>18400</v>
      </c>
      <c r="BY91" s="115">
        <v>41.7</v>
      </c>
      <c r="BZ91" s="115">
        <v>47.945</v>
      </c>
      <c r="CA91" s="119">
        <v>-3216.6708800000001</v>
      </c>
      <c r="CB91" s="115">
        <v>1.1497601918465228</v>
      </c>
      <c r="CC91" s="115">
        <v>500</v>
      </c>
      <c r="CD91" s="115">
        <v>50</v>
      </c>
      <c r="CE91" s="119">
        <v>20850</v>
      </c>
    </row>
    <row r="92" spans="1:83" hidden="1">
      <c r="A92" s="13">
        <f t="shared" si="244"/>
        <v>85</v>
      </c>
      <c r="B92" s="123">
        <v>44636</v>
      </c>
      <c r="C92" s="116" t="s">
        <v>6</v>
      </c>
      <c r="D92" s="116">
        <v>1</v>
      </c>
      <c r="E92" s="115" t="s">
        <v>632</v>
      </c>
      <c r="F92" s="116" t="s">
        <v>506</v>
      </c>
      <c r="G92" s="115"/>
      <c r="H92" s="117">
        <v>44651</v>
      </c>
      <c r="I92" s="115">
        <v>25</v>
      </c>
      <c r="J92" s="115">
        <v>35675</v>
      </c>
      <c r="K92" s="115">
        <v>35730</v>
      </c>
      <c r="L92" s="119">
        <f t="shared" ca="1" si="212"/>
        <v>0</v>
      </c>
      <c r="M92" s="119">
        <f t="shared" si="213"/>
        <v>1375</v>
      </c>
      <c r="N92" s="115">
        <f t="shared" si="262"/>
        <v>1.0015416958654519</v>
      </c>
      <c r="O92" s="156">
        <f t="shared" si="263"/>
        <v>26756.25</v>
      </c>
      <c r="P92" s="160">
        <f t="shared" si="245"/>
        <v>891875</v>
      </c>
      <c r="Q92" s="160" t="e">
        <f t="shared" si="264"/>
        <v>#N/A</v>
      </c>
      <c r="R92" s="153" t="e">
        <f t="shared" ca="1" si="214"/>
        <v>#VALUE!</v>
      </c>
      <c r="S92" s="119">
        <f t="shared" si="265"/>
        <v>3567.4999999999991</v>
      </c>
      <c r="T92" s="115" t="str">
        <f>VLOOKUP(TRIM($F92),Reference!B:C,2,0)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92" s="170">
        <f t="shared" ca="1" si="266"/>
        <v>0</v>
      </c>
      <c r="V92" s="120" t="str">
        <f t="shared" si="204"/>
        <v>BANKNIFTY22MARFUT</v>
      </c>
      <c r="W92" s="158" t="e">
        <f>VLOOKUP($V92,Reference!BA:BD,4,0)</f>
        <v>#N/A</v>
      </c>
      <c r="X92" s="160">
        <f t="shared" ca="1" si="205"/>
        <v>0</v>
      </c>
      <c r="Y92" s="160">
        <f t="shared" ca="1" si="206"/>
        <v>0</v>
      </c>
      <c r="Z92" s="160">
        <f t="shared" ca="1" si="215"/>
        <v>0</v>
      </c>
      <c r="AA92" s="160">
        <f t="shared" ca="1" si="207"/>
        <v>0</v>
      </c>
      <c r="AB92" s="160">
        <f t="shared" ca="1" si="208"/>
        <v>0</v>
      </c>
      <c r="AC92" s="119">
        <f t="shared" ca="1" si="209"/>
        <v>0</v>
      </c>
      <c r="AD92" s="115">
        <f t="shared" ca="1" si="267"/>
        <v>-1.4602739726027398</v>
      </c>
      <c r="AE92" s="115">
        <f t="shared" si="268"/>
        <v>20</v>
      </c>
      <c r="AF92" s="115"/>
      <c r="AG92" s="115"/>
      <c r="AH92" s="115">
        <f t="shared" si="246"/>
        <v>0</v>
      </c>
      <c r="AI92" s="115"/>
      <c r="AJ92" s="115">
        <f t="shared" si="247"/>
        <v>26.756250000000001</v>
      </c>
      <c r="AK92" s="115"/>
      <c r="AL92" s="142"/>
      <c r="AM92" s="153"/>
      <c r="AN92" s="153"/>
      <c r="AO92" s="153"/>
      <c r="AP92" s="153"/>
      <c r="AQ92" s="153"/>
      <c r="AR92" s="153"/>
      <c r="AS92" s="153"/>
      <c r="AT92" s="153"/>
      <c r="AU92" s="153"/>
      <c r="AV92" s="153"/>
      <c r="AW92" s="153"/>
      <c r="AX92" s="153"/>
      <c r="AY92" s="153"/>
      <c r="AZ92" s="153"/>
      <c r="BA92" s="153"/>
      <c r="BB92" s="153"/>
      <c r="BC92" s="153"/>
      <c r="BD92" s="153"/>
      <c r="BE92" s="153"/>
      <c r="BF92" s="153"/>
      <c r="BG92" s="153"/>
      <c r="BS92" s="13">
        <v>2</v>
      </c>
      <c r="BT92" s="123">
        <v>44491</v>
      </c>
      <c r="BU92" s="116" t="s">
        <v>8</v>
      </c>
      <c r="BV92" s="115" t="s">
        <v>482</v>
      </c>
      <c r="BW92" s="116" t="s">
        <v>502</v>
      </c>
      <c r="BX92" s="115">
        <v>18400</v>
      </c>
      <c r="BY92" s="115">
        <v>41.7</v>
      </c>
      <c r="BZ92" s="115">
        <v>47.945</v>
      </c>
      <c r="CA92" s="119">
        <v>-3216.6708800000001</v>
      </c>
      <c r="CB92" s="115">
        <v>1.1497601918465228</v>
      </c>
      <c r="CC92" s="115">
        <v>500</v>
      </c>
      <c r="CD92" s="115">
        <v>50</v>
      </c>
      <c r="CE92" s="119">
        <v>20850</v>
      </c>
    </row>
    <row r="93" spans="1:83" hidden="1">
      <c r="A93" s="13">
        <f t="shared" si="244"/>
        <v>86</v>
      </c>
      <c r="B93" s="123">
        <v>44636</v>
      </c>
      <c r="C93" s="116" t="s">
        <v>6</v>
      </c>
      <c r="D93" s="116">
        <v>1</v>
      </c>
      <c r="E93" s="115" t="s">
        <v>632</v>
      </c>
      <c r="F93" s="116" t="s">
        <v>506</v>
      </c>
      <c r="G93" s="115"/>
      <c r="H93" s="117">
        <v>44651</v>
      </c>
      <c r="I93" s="115">
        <v>25</v>
      </c>
      <c r="J93" s="115">
        <v>35650</v>
      </c>
      <c r="K93" s="115">
        <v>35654.9</v>
      </c>
      <c r="L93" s="119">
        <f t="shared" ca="1" si="212"/>
        <v>0</v>
      </c>
      <c r="M93" s="119">
        <f t="shared" si="213"/>
        <v>122.50000000003638</v>
      </c>
      <c r="N93" s="115">
        <f t="shared" si="262"/>
        <v>1.0001374474053297</v>
      </c>
      <c r="O93" s="156">
        <f t="shared" si="263"/>
        <v>26737.5</v>
      </c>
      <c r="P93" s="160">
        <f t="shared" si="245"/>
        <v>891250</v>
      </c>
      <c r="Q93" s="160" t="e">
        <f t="shared" si="264"/>
        <v>#N/A</v>
      </c>
      <c r="R93" s="153" t="e">
        <f t="shared" ca="1" si="214"/>
        <v>#VALUE!</v>
      </c>
      <c r="S93" s="119">
        <f t="shared" si="265"/>
        <v>3564.9999999999991</v>
      </c>
      <c r="T93" s="115" t="str">
        <f>VLOOKUP(TRIM($F93),Reference!B:C,2,0)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93" s="170">
        <f t="shared" ca="1" si="266"/>
        <v>0</v>
      </c>
      <c r="V93" s="120" t="str">
        <f t="shared" si="204"/>
        <v>BANKNIFTY22MARFUT</v>
      </c>
      <c r="W93" s="158" t="e">
        <f>VLOOKUP($V93,Reference!BA:BD,4,0)</f>
        <v>#N/A</v>
      </c>
      <c r="X93" s="160">
        <f t="shared" ca="1" si="205"/>
        <v>0</v>
      </c>
      <c r="Y93" s="160">
        <f t="shared" ca="1" si="206"/>
        <v>0</v>
      </c>
      <c r="Z93" s="160">
        <f t="shared" ca="1" si="215"/>
        <v>0</v>
      </c>
      <c r="AA93" s="160">
        <f t="shared" ca="1" si="207"/>
        <v>0</v>
      </c>
      <c r="AB93" s="160">
        <f t="shared" ca="1" si="208"/>
        <v>0</v>
      </c>
      <c r="AC93" s="119">
        <f t="shared" ca="1" si="209"/>
        <v>0</v>
      </c>
      <c r="AD93" s="115">
        <f t="shared" ca="1" si="267"/>
        <v>-1.4602739726027398</v>
      </c>
      <c r="AE93" s="115">
        <f t="shared" si="268"/>
        <v>20</v>
      </c>
      <c r="AF93" s="115"/>
      <c r="AG93" s="115"/>
      <c r="AH93" s="115">
        <f t="shared" si="246"/>
        <v>0</v>
      </c>
      <c r="AI93" s="115"/>
      <c r="AJ93" s="115">
        <f t="shared" si="247"/>
        <v>26.737500000000001</v>
      </c>
      <c r="AK93" s="115"/>
      <c r="AL93" s="142"/>
      <c r="AM93" s="153"/>
      <c r="AN93" s="153"/>
      <c r="AO93" s="153"/>
      <c r="AP93" s="153"/>
      <c r="AQ93" s="153"/>
      <c r="AR93" s="153"/>
      <c r="AS93" s="153"/>
      <c r="AT93" s="153"/>
      <c r="AU93" s="153"/>
      <c r="AV93" s="153"/>
      <c r="AW93" s="153"/>
      <c r="AX93" s="153"/>
      <c r="AY93" s="153"/>
      <c r="AZ93" s="153"/>
      <c r="BA93" s="153"/>
      <c r="BB93" s="153"/>
      <c r="BC93" s="153"/>
      <c r="BD93" s="153"/>
      <c r="BE93" s="153"/>
      <c r="BF93" s="153"/>
      <c r="BG93" s="153"/>
      <c r="BS93" s="13">
        <v>2</v>
      </c>
      <c r="BT93" s="123">
        <v>44491</v>
      </c>
      <c r="BU93" s="116" t="s">
        <v>8</v>
      </c>
      <c r="BV93" s="115" t="s">
        <v>482</v>
      </c>
      <c r="BW93" s="116" t="s">
        <v>502</v>
      </c>
      <c r="BX93" s="115">
        <v>18400</v>
      </c>
      <c r="BY93" s="115">
        <v>41.7</v>
      </c>
      <c r="BZ93" s="115">
        <v>47.945</v>
      </c>
      <c r="CA93" s="119">
        <v>-3216.6708800000001</v>
      </c>
      <c r="CB93" s="115">
        <v>1.1497601918465228</v>
      </c>
      <c r="CC93" s="115">
        <v>500</v>
      </c>
      <c r="CD93" s="115">
        <v>50</v>
      </c>
      <c r="CE93" s="119">
        <v>20850</v>
      </c>
    </row>
    <row r="94" spans="1:83" hidden="1">
      <c r="A94" s="13">
        <f t="shared" si="244"/>
        <v>87</v>
      </c>
      <c r="B94" s="123">
        <v>44636</v>
      </c>
      <c r="C94" s="116" t="s">
        <v>6</v>
      </c>
      <c r="D94" s="116">
        <v>1</v>
      </c>
      <c r="E94" s="115" t="s">
        <v>632</v>
      </c>
      <c r="F94" s="116" t="s">
        <v>506</v>
      </c>
      <c r="G94" s="115"/>
      <c r="H94" s="117">
        <v>44651</v>
      </c>
      <c r="I94" s="115">
        <v>25</v>
      </c>
      <c r="J94" s="115">
        <v>35620</v>
      </c>
      <c r="K94" s="115">
        <v>36400</v>
      </c>
      <c r="L94" s="119">
        <f t="shared" ca="1" si="212"/>
        <v>0</v>
      </c>
      <c r="M94" s="119">
        <f t="shared" si="213"/>
        <v>19500</v>
      </c>
      <c r="N94" s="115">
        <f t="shared" ref="N94" si="269">K94/$J94</f>
        <v>1.0218978102189782</v>
      </c>
      <c r="O94" s="156">
        <f t="shared" ref="O94" si="270">J94*(1+$O$6*IF(C94="B",-1,1))</f>
        <v>26715</v>
      </c>
      <c r="P94" s="160">
        <f t="shared" si="245"/>
        <v>890500</v>
      </c>
      <c r="Q94" s="160" t="e">
        <f t="shared" ref="Q94" si="271">(W94-J94)*I94*IF(C94="B",1,-1)*IF(K94=0,1,0)</f>
        <v>#N/A</v>
      </c>
      <c r="R94" s="153" t="e">
        <f t="shared" ca="1" si="214"/>
        <v>#VALUE!</v>
      </c>
      <c r="S94" s="119">
        <f t="shared" ref="S94" si="272">(1-$S$6)*J94</f>
        <v>3561.9999999999991</v>
      </c>
      <c r="T94" s="115" t="str">
        <f>VLOOKUP(TRIM($F94),Reference!B:C,2,0)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94" s="170">
        <f t="shared" ref="U94" ca="1" si="273">AC94</f>
        <v>0</v>
      </c>
      <c r="V94" s="120" t="str">
        <f t="shared" si="204"/>
        <v>BANKNIFTY22MARFUT</v>
      </c>
      <c r="W94" s="158" t="e">
        <f>VLOOKUP($V94,Reference!BA:BD,4,0)</f>
        <v>#N/A</v>
      </c>
      <c r="X94" s="160">
        <f t="shared" ca="1" si="205"/>
        <v>0</v>
      </c>
      <c r="Y94" s="160">
        <f t="shared" ca="1" si="206"/>
        <v>0</v>
      </c>
      <c r="Z94" s="160">
        <f t="shared" ca="1" si="215"/>
        <v>0</v>
      </c>
      <c r="AA94" s="160">
        <f t="shared" ca="1" si="207"/>
        <v>0</v>
      </c>
      <c r="AB94" s="160">
        <f t="shared" ca="1" si="208"/>
        <v>0</v>
      </c>
      <c r="AC94" s="119">
        <f t="shared" ca="1" si="209"/>
        <v>0</v>
      </c>
      <c r="AD94" s="115">
        <f t="shared" ref="AD94" ca="1" si="274">(H94-TODAY())/365</f>
        <v>-1.4602739726027398</v>
      </c>
      <c r="AE94" s="115">
        <f t="shared" ref="AE94" si="275">IF(I94&lt;&gt;0,20,0)</f>
        <v>20</v>
      </c>
      <c r="AF94" s="115"/>
      <c r="AG94" s="115"/>
      <c r="AH94" s="115">
        <f t="shared" si="246"/>
        <v>0</v>
      </c>
      <c r="AI94" s="115"/>
      <c r="AJ94" s="115">
        <f t="shared" si="247"/>
        <v>26.715</v>
      </c>
      <c r="AK94" s="115"/>
      <c r="AL94" s="142"/>
      <c r="AM94" s="153"/>
      <c r="AN94" s="153"/>
      <c r="AO94" s="153"/>
      <c r="AP94" s="153"/>
      <c r="AQ94" s="153"/>
      <c r="AR94" s="153"/>
      <c r="AS94" s="153"/>
      <c r="AT94" s="153"/>
      <c r="AU94" s="153"/>
      <c r="AV94" s="153"/>
      <c r="AW94" s="153"/>
      <c r="AX94" s="153"/>
      <c r="AY94" s="153"/>
      <c r="AZ94" s="153"/>
      <c r="BA94" s="153"/>
      <c r="BB94" s="153"/>
      <c r="BC94" s="153"/>
      <c r="BD94" s="153"/>
      <c r="BE94" s="153"/>
      <c r="BF94" s="153"/>
      <c r="BG94" s="153"/>
      <c r="BS94" s="13">
        <v>2</v>
      </c>
      <c r="BT94" s="123">
        <v>44491</v>
      </c>
      <c r="BU94" s="116" t="s">
        <v>8</v>
      </c>
      <c r="BV94" s="115" t="s">
        <v>482</v>
      </c>
      <c r="BW94" s="116" t="s">
        <v>502</v>
      </c>
      <c r="BX94" s="115">
        <v>18400</v>
      </c>
      <c r="BY94" s="115">
        <v>41.7</v>
      </c>
      <c r="BZ94" s="115">
        <v>47.945</v>
      </c>
      <c r="CA94" s="119">
        <v>-3216.6708800000001</v>
      </c>
      <c r="CB94" s="115">
        <v>1.1497601918465228</v>
      </c>
      <c r="CC94" s="115">
        <v>500</v>
      </c>
      <c r="CD94" s="115">
        <v>50</v>
      </c>
      <c r="CE94" s="119">
        <v>20850</v>
      </c>
    </row>
    <row r="95" spans="1:83" hidden="1">
      <c r="A95" s="13">
        <f t="shared" si="244"/>
        <v>88</v>
      </c>
      <c r="B95" s="123">
        <v>44637</v>
      </c>
      <c r="C95" s="116" t="s">
        <v>6</v>
      </c>
      <c r="D95" s="116">
        <v>1</v>
      </c>
      <c r="E95" s="115" t="s">
        <v>632</v>
      </c>
      <c r="F95" s="116" t="s">
        <v>502</v>
      </c>
      <c r="G95" s="115"/>
      <c r="H95" s="117">
        <v>44679</v>
      </c>
      <c r="I95" s="115">
        <v>50</v>
      </c>
      <c r="J95" s="115">
        <v>17366.3</v>
      </c>
      <c r="K95" s="115">
        <v>17140</v>
      </c>
      <c r="L95" s="119">
        <f t="shared" ca="1" si="212"/>
        <v>0</v>
      </c>
      <c r="M95" s="119">
        <f t="shared" si="213"/>
        <v>-11314.999999999964</v>
      </c>
      <c r="N95" s="115">
        <f t="shared" ref="N95:N97" si="276">K95/$J95</f>
        <v>0.98696901470088627</v>
      </c>
      <c r="O95" s="156">
        <f t="shared" ref="O95:O97" si="277">J95*(1+$O$6*IF(C95="B",-1,1))</f>
        <v>13024.724999999999</v>
      </c>
      <c r="P95" s="160">
        <f t="shared" si="245"/>
        <v>868315</v>
      </c>
      <c r="Q95" s="160" t="e">
        <f t="shared" ref="Q95:Q97" si="278">(W95-J95)*I95*IF(C95="B",1,-1)*IF(K95=0,1,0)</f>
        <v>#N/A</v>
      </c>
      <c r="R95" s="153" t="e">
        <f t="shared" ca="1" si="214"/>
        <v>#VALUE!</v>
      </c>
      <c r="S95" s="119">
        <f t="shared" ref="S95:S97" si="279">(1-$S$6)*J95</f>
        <v>1736.6299999999997</v>
      </c>
      <c r="T95" s="115" t="str">
        <f>VLOOKUP(TRIM($F95),Reference!B:C,2,0)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95" s="170">
        <f t="shared" ref="U95:U97" ca="1" si="280">AC95</f>
        <v>0</v>
      </c>
      <c r="V95" s="120" t="str">
        <f t="shared" si="204"/>
        <v>NIFTY22APRFUT</v>
      </c>
      <c r="W95" s="158" t="e">
        <f>VLOOKUP($V95,Reference!BA:BD,4,0)</f>
        <v>#N/A</v>
      </c>
      <c r="X95" s="160">
        <f t="shared" ca="1" si="205"/>
        <v>0</v>
      </c>
      <c r="Y95" s="160">
        <f t="shared" ca="1" si="206"/>
        <v>0</v>
      </c>
      <c r="Z95" s="160">
        <f t="shared" ca="1" si="215"/>
        <v>0</v>
      </c>
      <c r="AA95" s="160">
        <f t="shared" ca="1" si="207"/>
        <v>0</v>
      </c>
      <c r="AB95" s="160">
        <f t="shared" ca="1" si="208"/>
        <v>0</v>
      </c>
      <c r="AC95" s="119">
        <f t="shared" ca="1" si="209"/>
        <v>0</v>
      </c>
      <c r="AD95" s="115">
        <f t="shared" ref="AD95:AD97" ca="1" si="281">(H95-TODAY())/365</f>
        <v>-1.3835616438356164</v>
      </c>
      <c r="AE95" s="115">
        <f t="shared" ref="AE95:AE97" si="282">IF(I95&lt;&gt;0,20,0)</f>
        <v>20</v>
      </c>
      <c r="AF95" s="115"/>
      <c r="AG95" s="115"/>
      <c r="AH95" s="115">
        <f t="shared" si="246"/>
        <v>0</v>
      </c>
      <c r="AI95" s="115"/>
      <c r="AJ95" s="115">
        <f t="shared" si="247"/>
        <v>26.04945</v>
      </c>
      <c r="AK95" s="115"/>
      <c r="AL95" s="142"/>
      <c r="AM95" s="153"/>
      <c r="AN95" s="153"/>
      <c r="AO95" s="153"/>
      <c r="AP95" s="153"/>
      <c r="AQ95" s="153"/>
      <c r="AR95" s="153"/>
      <c r="AS95" s="153"/>
      <c r="AT95" s="153"/>
      <c r="AU95" s="153"/>
      <c r="AV95" s="153"/>
      <c r="AW95" s="153"/>
      <c r="AX95" s="153"/>
      <c r="AY95" s="153"/>
      <c r="AZ95" s="153"/>
      <c r="BA95" s="153"/>
      <c r="BB95" s="153"/>
      <c r="BC95" s="153"/>
      <c r="BD95" s="153"/>
      <c r="BE95" s="153"/>
      <c r="BF95" s="153"/>
      <c r="BG95" s="153"/>
      <c r="BS95" s="13">
        <v>2</v>
      </c>
      <c r="BT95" s="123">
        <v>44491</v>
      </c>
      <c r="BU95" s="116" t="s">
        <v>8</v>
      </c>
      <c r="BV95" s="115" t="s">
        <v>482</v>
      </c>
      <c r="BW95" s="116" t="s">
        <v>502</v>
      </c>
      <c r="BX95" s="115">
        <v>18400</v>
      </c>
      <c r="BY95" s="115">
        <v>41.7</v>
      </c>
      <c r="BZ95" s="115">
        <v>47.945</v>
      </c>
      <c r="CA95" s="119">
        <v>-3216.6708800000001</v>
      </c>
      <c r="CB95" s="115">
        <v>1.1497601918465228</v>
      </c>
      <c r="CC95" s="115">
        <v>500</v>
      </c>
      <c r="CD95" s="115">
        <v>50</v>
      </c>
      <c r="CE95" s="119">
        <v>20850</v>
      </c>
    </row>
    <row r="96" spans="1:83" hidden="1">
      <c r="A96" s="13">
        <f t="shared" si="244"/>
        <v>89</v>
      </c>
      <c r="B96" s="123">
        <v>44627</v>
      </c>
      <c r="C96" s="116" t="s">
        <v>8</v>
      </c>
      <c r="D96" s="116">
        <v>1</v>
      </c>
      <c r="E96" s="115" t="s">
        <v>481</v>
      </c>
      <c r="F96" s="116" t="s">
        <v>502</v>
      </c>
      <c r="G96" s="115">
        <v>17000</v>
      </c>
      <c r="H96" s="117">
        <v>44651</v>
      </c>
      <c r="I96" s="115">
        <v>50</v>
      </c>
      <c r="J96" s="115">
        <v>84.94</v>
      </c>
      <c r="K96" s="115">
        <v>460.45</v>
      </c>
      <c r="L96" s="119">
        <f t="shared" ca="1" si="212"/>
        <v>0</v>
      </c>
      <c r="M96" s="119">
        <f t="shared" si="213"/>
        <v>-18775.5</v>
      </c>
      <c r="N96" s="115">
        <f t="shared" si="276"/>
        <v>5.4208853308217568</v>
      </c>
      <c r="O96" s="156">
        <f t="shared" si="277"/>
        <v>106.175</v>
      </c>
      <c r="P96" s="160">
        <f t="shared" si="245"/>
        <v>4247</v>
      </c>
      <c r="Q96" s="160" t="e">
        <f t="shared" si="278"/>
        <v>#N/A</v>
      </c>
      <c r="R96" s="153" t="e">
        <f t="shared" ca="1" si="214"/>
        <v>#VALUE!</v>
      </c>
      <c r="S96" s="119">
        <f t="shared" si="279"/>
        <v>8.493999999999998</v>
      </c>
      <c r="T96" s="115" t="str">
        <f>VLOOKUP(TRIM($F96),Reference!B:C,2,0)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96" s="120">
        <f t="shared" ca="1" si="280"/>
        <v>0</v>
      </c>
      <c r="V96" s="120" t="str">
        <f t="shared" si="204"/>
        <v>NIFTY22MAR17000CE</v>
      </c>
      <c r="W96" s="158" t="e">
        <f>VLOOKUP($V96,Reference!BA:BD,4,0)</f>
        <v>#N/A</v>
      </c>
      <c r="X96" s="160">
        <f t="shared" ca="1" si="205"/>
        <v>0</v>
      </c>
      <c r="Y96" s="160">
        <f t="shared" ca="1" si="206"/>
        <v>0</v>
      </c>
      <c r="Z96" s="160">
        <f t="shared" ca="1" si="215"/>
        <v>0</v>
      </c>
      <c r="AA96" s="160">
        <f t="shared" ca="1" si="207"/>
        <v>0</v>
      </c>
      <c r="AB96" s="160">
        <f t="shared" ca="1" si="208"/>
        <v>0</v>
      </c>
      <c r="AC96" s="119">
        <f t="shared" ca="1" si="209"/>
        <v>0</v>
      </c>
      <c r="AD96" s="115">
        <f t="shared" ca="1" si="281"/>
        <v>-1.4602739726027398</v>
      </c>
      <c r="AE96" s="115">
        <f t="shared" si="282"/>
        <v>20</v>
      </c>
      <c r="AF96" s="115"/>
      <c r="AG96" s="115"/>
      <c r="AH96" s="115">
        <f t="shared" si="246"/>
        <v>2.1234999999999999</v>
      </c>
      <c r="AI96" s="115"/>
      <c r="AJ96" s="115">
        <f t="shared" si="247"/>
        <v>0</v>
      </c>
      <c r="AK96" s="115"/>
      <c r="AL96" s="140">
        <v>1</v>
      </c>
      <c r="AM96" s="154"/>
      <c r="AN96" s="154"/>
      <c r="AO96" s="154"/>
      <c r="AP96" s="154"/>
      <c r="AQ96" s="154"/>
      <c r="AR96" s="154"/>
      <c r="AS96" s="154"/>
      <c r="AT96" s="154"/>
      <c r="AU96" s="154"/>
      <c r="AV96" s="154"/>
      <c r="AW96" s="154"/>
      <c r="AX96" s="154"/>
      <c r="AY96" s="154"/>
      <c r="AZ96" s="154"/>
      <c r="BA96" s="154"/>
      <c r="BB96" s="154"/>
      <c r="BC96" s="154"/>
      <c r="BD96" s="154"/>
      <c r="BE96" s="154"/>
      <c r="BF96" s="154"/>
      <c r="BG96" s="154"/>
      <c r="BS96" s="11">
        <v>3</v>
      </c>
      <c r="BT96" s="11">
        <v>44491</v>
      </c>
      <c r="BU96" s="11" t="s">
        <v>8</v>
      </c>
      <c r="BV96" s="11" t="s">
        <v>481</v>
      </c>
      <c r="BW96" s="11" t="s">
        <v>502</v>
      </c>
      <c r="BX96" s="11">
        <v>18700</v>
      </c>
      <c r="BY96" s="11">
        <v>34.75</v>
      </c>
      <c r="BZ96" s="11">
        <v>0.05</v>
      </c>
      <c r="CA96" s="11">
        <v>17263.657599999999</v>
      </c>
      <c r="CB96" s="11">
        <v>1.4388489208633094E-3</v>
      </c>
      <c r="CC96" s="11">
        <v>500</v>
      </c>
      <c r="CD96" s="11">
        <v>50</v>
      </c>
      <c r="CE96" s="11">
        <v>17375</v>
      </c>
    </row>
    <row r="97" spans="1:83" hidden="1">
      <c r="A97" s="13">
        <f t="shared" si="244"/>
        <v>90</v>
      </c>
      <c r="B97" s="123">
        <v>44627</v>
      </c>
      <c r="C97" s="116" t="s">
        <v>8</v>
      </c>
      <c r="D97" s="116">
        <v>1</v>
      </c>
      <c r="E97" s="115" t="s">
        <v>481</v>
      </c>
      <c r="F97" s="116" t="s">
        <v>502</v>
      </c>
      <c r="G97" s="115">
        <v>17000</v>
      </c>
      <c r="H97" s="117">
        <v>44651</v>
      </c>
      <c r="I97" s="115">
        <v>50</v>
      </c>
      <c r="J97" s="115">
        <v>84.94</v>
      </c>
      <c r="K97" s="115">
        <v>398</v>
      </c>
      <c r="L97" s="119">
        <f t="shared" ca="1" si="212"/>
        <v>0</v>
      </c>
      <c r="M97" s="119">
        <f t="shared" si="213"/>
        <v>-15653</v>
      </c>
      <c r="N97" s="115">
        <f t="shared" si="276"/>
        <v>4.6856604662114432</v>
      </c>
      <c r="O97" s="156">
        <f t="shared" si="277"/>
        <v>106.175</v>
      </c>
      <c r="P97" s="160">
        <f t="shared" si="245"/>
        <v>4247</v>
      </c>
      <c r="Q97" s="160" t="e">
        <f t="shared" si="278"/>
        <v>#N/A</v>
      </c>
      <c r="R97" s="153" t="e">
        <f t="shared" ca="1" si="214"/>
        <v>#VALUE!</v>
      </c>
      <c r="S97" s="119">
        <f t="shared" si="279"/>
        <v>8.493999999999998</v>
      </c>
      <c r="T97" s="115" t="str">
        <f>VLOOKUP(TRIM($F97),Reference!B:C,2,0)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97" s="120">
        <f t="shared" ca="1" si="280"/>
        <v>0</v>
      </c>
      <c r="V97" s="120" t="str">
        <f t="shared" si="204"/>
        <v>NIFTY22MAR17000CE</v>
      </c>
      <c r="W97" s="158" t="e">
        <f>VLOOKUP($V97,Reference!BA:BD,4,0)</f>
        <v>#N/A</v>
      </c>
      <c r="X97" s="160">
        <f t="shared" ca="1" si="205"/>
        <v>0</v>
      </c>
      <c r="Y97" s="160">
        <f t="shared" ca="1" si="206"/>
        <v>0</v>
      </c>
      <c r="Z97" s="160">
        <f t="shared" ca="1" si="215"/>
        <v>0</v>
      </c>
      <c r="AA97" s="160">
        <f t="shared" ca="1" si="207"/>
        <v>0</v>
      </c>
      <c r="AB97" s="160">
        <f t="shared" ca="1" si="208"/>
        <v>0</v>
      </c>
      <c r="AC97" s="119">
        <f t="shared" ca="1" si="209"/>
        <v>0</v>
      </c>
      <c r="AD97" s="115">
        <f t="shared" ca="1" si="281"/>
        <v>-1.4602739726027398</v>
      </c>
      <c r="AE97" s="115">
        <f t="shared" si="282"/>
        <v>20</v>
      </c>
      <c r="AF97" s="115"/>
      <c r="AG97" s="115"/>
      <c r="AH97" s="115">
        <f t="shared" si="246"/>
        <v>2.1234999999999999</v>
      </c>
      <c r="AI97" s="115"/>
      <c r="AJ97" s="115">
        <f t="shared" si="247"/>
        <v>0</v>
      </c>
      <c r="AK97" s="115"/>
      <c r="AL97" s="140">
        <v>1</v>
      </c>
      <c r="AM97" s="154"/>
      <c r="AN97" s="154"/>
      <c r="AO97" s="154"/>
      <c r="AP97" s="154"/>
      <c r="AQ97" s="154"/>
      <c r="AR97" s="154"/>
      <c r="AS97" s="154"/>
      <c r="AT97" s="154"/>
      <c r="AU97" s="154"/>
      <c r="AV97" s="154"/>
      <c r="AW97" s="154"/>
      <c r="AX97" s="154"/>
      <c r="AY97" s="154"/>
      <c r="AZ97" s="154"/>
      <c r="BA97" s="154"/>
      <c r="BB97" s="154"/>
      <c r="BC97" s="154"/>
      <c r="BD97" s="154"/>
      <c r="BE97" s="154"/>
      <c r="BF97" s="154"/>
      <c r="BG97" s="154"/>
      <c r="BS97" s="11">
        <v>3</v>
      </c>
      <c r="BT97" s="11">
        <v>44491</v>
      </c>
      <c r="BU97" s="11" t="s">
        <v>8</v>
      </c>
      <c r="BV97" s="11" t="s">
        <v>481</v>
      </c>
      <c r="BW97" s="11" t="s">
        <v>502</v>
      </c>
      <c r="BX97" s="11">
        <v>18700</v>
      </c>
      <c r="BY97" s="11">
        <v>34.75</v>
      </c>
      <c r="BZ97" s="11">
        <v>0.05</v>
      </c>
      <c r="CA97" s="11">
        <v>17263.657599999999</v>
      </c>
      <c r="CB97" s="11">
        <v>1.4388489208633094E-3</v>
      </c>
      <c r="CC97" s="11">
        <v>500</v>
      </c>
      <c r="CD97" s="11">
        <v>50</v>
      </c>
      <c r="CE97" s="11">
        <v>17375</v>
      </c>
    </row>
    <row r="98" spans="1:83" hidden="1">
      <c r="A98" s="13">
        <f t="shared" si="244"/>
        <v>91</v>
      </c>
      <c r="B98" s="123">
        <v>44641</v>
      </c>
      <c r="C98" s="116" t="s">
        <v>8</v>
      </c>
      <c r="D98" s="116">
        <v>1</v>
      </c>
      <c r="E98" s="115" t="s">
        <v>481</v>
      </c>
      <c r="F98" s="116" t="s">
        <v>502</v>
      </c>
      <c r="G98" s="115">
        <v>17500</v>
      </c>
      <c r="H98" s="117">
        <v>44651</v>
      </c>
      <c r="I98" s="115">
        <v>50</v>
      </c>
      <c r="J98" s="115">
        <v>176.15</v>
      </c>
      <c r="K98" s="115">
        <v>3.1</v>
      </c>
      <c r="L98" s="119">
        <f t="shared" ca="1" si="212"/>
        <v>0</v>
      </c>
      <c r="M98" s="119">
        <f t="shared" si="213"/>
        <v>8652.5</v>
      </c>
      <c r="N98" s="115">
        <f t="shared" ref="N98" si="283">K98/$J98</f>
        <v>1.7598637524836785E-2</v>
      </c>
      <c r="O98" s="156">
        <f t="shared" ref="O98" si="284">J98*(1+$O$6*IF(C98="B",-1,1))</f>
        <v>220.1875</v>
      </c>
      <c r="P98" s="160">
        <f t="shared" si="245"/>
        <v>8807.5</v>
      </c>
      <c r="Q98" s="160" t="e">
        <f t="shared" ref="Q98" si="285">(W98-J98)*I98*IF(C98="B",1,-1)*IF(K98=0,1,0)</f>
        <v>#N/A</v>
      </c>
      <c r="R98" s="153" t="e">
        <f t="shared" ca="1" si="214"/>
        <v>#VALUE!</v>
      </c>
      <c r="S98" s="119">
        <f t="shared" ref="S98" si="286">(1-$S$6)*J98</f>
        <v>17.614999999999995</v>
      </c>
      <c r="T98" s="115" t="str">
        <f>VLOOKUP(TRIM($F98),Reference!B:C,2,0)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98" s="120">
        <f t="shared" ref="U98" ca="1" si="287">AC98</f>
        <v>0</v>
      </c>
      <c r="V98" s="120" t="str">
        <f t="shared" si="204"/>
        <v>NIFTY22MAR17500CE</v>
      </c>
      <c r="W98" s="158" t="e">
        <f>VLOOKUP($V98,Reference!BA:BD,4,0)</f>
        <v>#N/A</v>
      </c>
      <c r="X98" s="160">
        <f t="shared" ca="1" si="205"/>
        <v>0</v>
      </c>
      <c r="Y98" s="160">
        <f t="shared" ca="1" si="206"/>
        <v>0</v>
      </c>
      <c r="Z98" s="160">
        <f t="shared" ca="1" si="215"/>
        <v>0</v>
      </c>
      <c r="AA98" s="160">
        <f t="shared" ca="1" si="207"/>
        <v>0</v>
      </c>
      <c r="AB98" s="160">
        <f t="shared" ca="1" si="208"/>
        <v>0</v>
      </c>
      <c r="AC98" s="119">
        <f t="shared" ca="1" si="209"/>
        <v>0</v>
      </c>
      <c r="AD98" s="115">
        <f t="shared" ref="AD98" ca="1" si="288">(H98-TODAY())/365</f>
        <v>-1.4602739726027398</v>
      </c>
      <c r="AE98" s="115">
        <f t="shared" ref="AE98" si="289">IF(I98&lt;&gt;0,20,0)</f>
        <v>20</v>
      </c>
      <c r="AF98" s="115"/>
      <c r="AG98" s="115"/>
      <c r="AH98" s="115">
        <f t="shared" si="246"/>
        <v>4.4037500000000005</v>
      </c>
      <c r="AI98" s="115"/>
      <c r="AJ98" s="115">
        <f t="shared" si="247"/>
        <v>0</v>
      </c>
      <c r="AK98" s="115"/>
      <c r="AL98" s="140">
        <v>1</v>
      </c>
      <c r="AM98" s="154"/>
      <c r="AN98" s="154"/>
      <c r="AO98" s="154"/>
      <c r="AP98" s="154"/>
      <c r="AQ98" s="154"/>
      <c r="AR98" s="154"/>
      <c r="AS98" s="154"/>
      <c r="AT98" s="154"/>
      <c r="AU98" s="154"/>
      <c r="AV98" s="154"/>
      <c r="AW98" s="154"/>
      <c r="AX98" s="154"/>
      <c r="AY98" s="154"/>
      <c r="AZ98" s="154"/>
      <c r="BA98" s="154"/>
      <c r="BB98" s="154"/>
      <c r="BC98" s="154"/>
      <c r="BD98" s="154"/>
      <c r="BE98" s="154"/>
      <c r="BF98" s="154"/>
      <c r="BG98" s="154"/>
      <c r="BS98" s="11">
        <v>3</v>
      </c>
      <c r="BT98" s="11">
        <v>44491</v>
      </c>
      <c r="BU98" s="11" t="s">
        <v>8</v>
      </c>
      <c r="BV98" s="11" t="s">
        <v>481</v>
      </c>
      <c r="BW98" s="11" t="s">
        <v>502</v>
      </c>
      <c r="BX98" s="11">
        <v>18700</v>
      </c>
      <c r="BY98" s="11">
        <v>34.75</v>
      </c>
      <c r="BZ98" s="11">
        <v>0.05</v>
      </c>
      <c r="CA98" s="11">
        <v>17263.657599999999</v>
      </c>
      <c r="CB98" s="11">
        <v>1.4388489208633094E-3</v>
      </c>
      <c r="CC98" s="11">
        <v>500</v>
      </c>
      <c r="CD98" s="11">
        <v>50</v>
      </c>
      <c r="CE98" s="11">
        <v>17375</v>
      </c>
    </row>
    <row r="99" spans="1:83" hidden="1">
      <c r="A99" s="13">
        <f t="shared" si="244"/>
        <v>92</v>
      </c>
      <c r="B99" s="123">
        <v>44642</v>
      </c>
      <c r="C99" s="116" t="s">
        <v>8</v>
      </c>
      <c r="D99" s="116">
        <v>1</v>
      </c>
      <c r="E99" s="115" t="s">
        <v>481</v>
      </c>
      <c r="F99" s="116" t="s">
        <v>502</v>
      </c>
      <c r="G99" s="115">
        <v>17500</v>
      </c>
      <c r="H99" s="117">
        <v>44651</v>
      </c>
      <c r="I99" s="115">
        <v>50</v>
      </c>
      <c r="J99" s="115">
        <v>147</v>
      </c>
      <c r="K99" s="115">
        <v>3.1</v>
      </c>
      <c r="L99" s="119">
        <f t="shared" ca="1" si="212"/>
        <v>0</v>
      </c>
      <c r="M99" s="119">
        <f t="shared" si="213"/>
        <v>7195</v>
      </c>
      <c r="N99" s="115">
        <f t="shared" ref="N99:N100" si="290">K99/$J99</f>
        <v>2.1088435374149662E-2</v>
      </c>
      <c r="O99" s="156">
        <f t="shared" ref="O99:O100" si="291">J99*(1+$O$6*IF(C99="B",-1,1))</f>
        <v>183.75</v>
      </c>
      <c r="P99" s="160">
        <f t="shared" si="245"/>
        <v>7350</v>
      </c>
      <c r="Q99" s="160" t="e">
        <f t="shared" ref="Q99:Q100" si="292">(W99-J99)*I99*IF(C99="B",1,-1)*IF(K99=0,1,0)</f>
        <v>#N/A</v>
      </c>
      <c r="R99" s="153" t="e">
        <f t="shared" ca="1" si="214"/>
        <v>#VALUE!</v>
      </c>
      <c r="S99" s="119">
        <f t="shared" ref="S99:S100" si="293">(1-$S$6)*J99</f>
        <v>14.699999999999998</v>
      </c>
      <c r="T99" s="115" t="str">
        <f>VLOOKUP(TRIM($F99),Reference!B:C,2,0)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99" s="120">
        <f t="shared" ref="U99:U100" ca="1" si="294">AC99</f>
        <v>0</v>
      </c>
      <c r="V99" s="120" t="str">
        <f t="shared" si="204"/>
        <v>NIFTY22MAR17500CE</v>
      </c>
      <c r="W99" s="158" t="e">
        <f>VLOOKUP($V99,Reference!BA:BD,4,0)</f>
        <v>#N/A</v>
      </c>
      <c r="X99" s="160">
        <f t="shared" ca="1" si="205"/>
        <v>0</v>
      </c>
      <c r="Y99" s="160">
        <f t="shared" ca="1" si="206"/>
        <v>0</v>
      </c>
      <c r="Z99" s="160">
        <f t="shared" ca="1" si="215"/>
        <v>0</v>
      </c>
      <c r="AA99" s="160">
        <f t="shared" ca="1" si="207"/>
        <v>0</v>
      </c>
      <c r="AB99" s="160">
        <f t="shared" ca="1" si="208"/>
        <v>0</v>
      </c>
      <c r="AC99" s="119">
        <f t="shared" ca="1" si="209"/>
        <v>0</v>
      </c>
      <c r="AD99" s="115">
        <f t="shared" ref="AD99:AD100" ca="1" si="295">(H99-TODAY())/365</f>
        <v>-1.4602739726027398</v>
      </c>
      <c r="AE99" s="115">
        <f t="shared" ref="AE99:AE100" si="296">IF(I99&lt;&gt;0,20,0)</f>
        <v>20</v>
      </c>
      <c r="AF99" s="115"/>
      <c r="AG99" s="115"/>
      <c r="AH99" s="115">
        <f t="shared" si="246"/>
        <v>3.6750000000000003</v>
      </c>
      <c r="AI99" s="115"/>
      <c r="AJ99" s="115">
        <f t="shared" si="247"/>
        <v>0</v>
      </c>
      <c r="AK99" s="115"/>
      <c r="AL99" s="140">
        <v>1</v>
      </c>
      <c r="AM99" s="154"/>
      <c r="AN99" s="154"/>
      <c r="AO99" s="154"/>
      <c r="AP99" s="154"/>
      <c r="AQ99" s="154"/>
      <c r="AR99" s="154"/>
      <c r="AS99" s="154"/>
      <c r="AT99" s="154"/>
      <c r="AU99" s="154"/>
      <c r="AV99" s="154"/>
      <c r="AW99" s="154"/>
      <c r="AX99" s="154"/>
      <c r="AY99" s="154"/>
      <c r="AZ99" s="154"/>
      <c r="BA99" s="154"/>
      <c r="BB99" s="154"/>
      <c r="BC99" s="154"/>
      <c r="BD99" s="154"/>
      <c r="BE99" s="154"/>
      <c r="BF99" s="154"/>
      <c r="BG99" s="154"/>
      <c r="BS99" s="11">
        <v>3</v>
      </c>
      <c r="BT99" s="11">
        <v>44491</v>
      </c>
      <c r="BU99" s="11" t="s">
        <v>8</v>
      </c>
      <c r="BV99" s="11" t="s">
        <v>481</v>
      </c>
      <c r="BW99" s="11" t="s">
        <v>502</v>
      </c>
      <c r="BX99" s="11">
        <v>18700</v>
      </c>
      <c r="BY99" s="11">
        <v>34.75</v>
      </c>
      <c r="BZ99" s="11">
        <v>0.05</v>
      </c>
      <c r="CA99" s="11">
        <v>17263.657599999999</v>
      </c>
      <c r="CB99" s="11">
        <v>1.4388489208633094E-3</v>
      </c>
      <c r="CC99" s="11">
        <v>500</v>
      </c>
      <c r="CD99" s="11">
        <v>50</v>
      </c>
      <c r="CE99" s="11">
        <v>17375</v>
      </c>
    </row>
    <row r="100" spans="1:83" hidden="1">
      <c r="A100" s="13">
        <f t="shared" si="244"/>
        <v>93</v>
      </c>
      <c r="B100" s="123">
        <v>44642</v>
      </c>
      <c r="C100" s="116" t="s">
        <v>8</v>
      </c>
      <c r="D100" s="116">
        <v>1</v>
      </c>
      <c r="E100" s="115" t="s">
        <v>481</v>
      </c>
      <c r="F100" s="116" t="s">
        <v>502</v>
      </c>
      <c r="G100" s="115">
        <v>17650</v>
      </c>
      <c r="H100" s="117">
        <v>44651</v>
      </c>
      <c r="I100" s="115">
        <v>50</v>
      </c>
      <c r="J100" s="115">
        <v>100.8</v>
      </c>
      <c r="K100" s="115">
        <v>0.5</v>
      </c>
      <c r="L100" s="119">
        <f t="shared" ca="1" si="212"/>
        <v>0</v>
      </c>
      <c r="M100" s="119">
        <f t="shared" si="213"/>
        <v>5015</v>
      </c>
      <c r="N100" s="115">
        <f t="shared" si="290"/>
        <v>4.96031746031746E-3</v>
      </c>
      <c r="O100" s="156">
        <f t="shared" si="291"/>
        <v>126</v>
      </c>
      <c r="P100" s="160">
        <f t="shared" si="245"/>
        <v>5040</v>
      </c>
      <c r="Q100" s="160" t="e">
        <f t="shared" si="292"/>
        <v>#N/A</v>
      </c>
      <c r="R100" s="153" t="e">
        <f t="shared" ca="1" si="214"/>
        <v>#VALUE!</v>
      </c>
      <c r="S100" s="119">
        <f t="shared" si="293"/>
        <v>10.079999999999998</v>
      </c>
      <c r="T100" s="115" t="str">
        <f>VLOOKUP(TRIM($F100),Reference!B:C,2,0)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00" s="120">
        <f t="shared" ca="1" si="294"/>
        <v>0</v>
      </c>
      <c r="V100" s="120" t="str">
        <f t="shared" si="204"/>
        <v>NIFTY22MAR17650CE</v>
      </c>
      <c r="W100" s="158" t="e">
        <f>VLOOKUP($V100,Reference!BA:BD,4,0)</f>
        <v>#N/A</v>
      </c>
      <c r="X100" s="160">
        <f t="shared" ca="1" si="205"/>
        <v>0</v>
      </c>
      <c r="Y100" s="160">
        <f t="shared" ca="1" si="206"/>
        <v>0</v>
      </c>
      <c r="Z100" s="160">
        <f t="shared" ca="1" si="215"/>
        <v>0</v>
      </c>
      <c r="AA100" s="160">
        <f t="shared" ca="1" si="207"/>
        <v>0</v>
      </c>
      <c r="AB100" s="160">
        <f t="shared" ca="1" si="208"/>
        <v>0</v>
      </c>
      <c r="AC100" s="119">
        <f t="shared" ca="1" si="209"/>
        <v>0</v>
      </c>
      <c r="AD100" s="115">
        <f t="shared" ca="1" si="295"/>
        <v>-1.4602739726027398</v>
      </c>
      <c r="AE100" s="115">
        <f t="shared" si="296"/>
        <v>20</v>
      </c>
      <c r="AF100" s="115"/>
      <c r="AG100" s="115"/>
      <c r="AH100" s="115">
        <f t="shared" si="246"/>
        <v>2.52</v>
      </c>
      <c r="AI100" s="115"/>
      <c r="AJ100" s="115">
        <f t="shared" si="247"/>
        <v>0</v>
      </c>
      <c r="AK100" s="115"/>
      <c r="AL100" s="140">
        <v>1</v>
      </c>
      <c r="AM100" s="154"/>
      <c r="AN100" s="154"/>
      <c r="AO100" s="154"/>
      <c r="AP100" s="154"/>
      <c r="AQ100" s="154"/>
      <c r="AR100" s="154"/>
      <c r="AS100" s="154"/>
      <c r="AT100" s="154"/>
      <c r="AU100" s="154"/>
      <c r="AV100" s="154"/>
      <c r="AW100" s="154"/>
      <c r="AX100" s="154"/>
      <c r="AY100" s="154"/>
      <c r="AZ100" s="154"/>
      <c r="BA100" s="154"/>
      <c r="BB100" s="154"/>
      <c r="BC100" s="154"/>
      <c r="BD100" s="154"/>
      <c r="BE100" s="154"/>
      <c r="BF100" s="154"/>
      <c r="BG100" s="154"/>
      <c r="BS100" s="11">
        <v>3</v>
      </c>
      <c r="BT100" s="11">
        <v>44491</v>
      </c>
      <c r="BU100" s="11" t="s">
        <v>8</v>
      </c>
      <c r="BV100" s="11" t="s">
        <v>481</v>
      </c>
      <c r="BW100" s="11" t="s">
        <v>502</v>
      </c>
      <c r="BX100" s="11">
        <v>18700</v>
      </c>
      <c r="BY100" s="11">
        <v>34.75</v>
      </c>
      <c r="BZ100" s="11">
        <v>0.05</v>
      </c>
      <c r="CA100" s="11">
        <v>17263.657599999999</v>
      </c>
      <c r="CB100" s="11">
        <v>1.4388489208633094E-3</v>
      </c>
      <c r="CC100" s="11">
        <v>500</v>
      </c>
      <c r="CD100" s="11">
        <v>50</v>
      </c>
      <c r="CE100" s="11">
        <v>17375</v>
      </c>
    </row>
    <row r="101" spans="1:83" hidden="1">
      <c r="A101" s="13">
        <f t="shared" si="244"/>
        <v>94</v>
      </c>
      <c r="B101" s="123">
        <v>44642</v>
      </c>
      <c r="C101" s="116" t="s">
        <v>8</v>
      </c>
      <c r="D101" s="116">
        <v>1</v>
      </c>
      <c r="E101" s="115" t="s">
        <v>481</v>
      </c>
      <c r="F101" s="116" t="s">
        <v>502</v>
      </c>
      <c r="G101" s="115">
        <v>17700</v>
      </c>
      <c r="H101" s="117">
        <v>44651</v>
      </c>
      <c r="I101" s="115">
        <v>50</v>
      </c>
      <c r="J101" s="115">
        <v>102</v>
      </c>
      <c r="K101" s="115">
        <v>0.45</v>
      </c>
      <c r="L101" s="119">
        <f t="shared" ca="1" si="212"/>
        <v>0</v>
      </c>
      <c r="M101" s="119">
        <f t="shared" si="213"/>
        <v>5077.5</v>
      </c>
      <c r="N101" s="115">
        <f t="shared" ref="N101:N104" si="297">K101/$J101</f>
        <v>4.4117647058823529E-3</v>
      </c>
      <c r="O101" s="156">
        <f t="shared" ref="O101:O104" si="298">J101*(1+$O$6*IF(C101="B",-1,1))</f>
        <v>127.5</v>
      </c>
      <c r="P101" s="160">
        <f t="shared" si="245"/>
        <v>5100</v>
      </c>
      <c r="Q101" s="160" t="e">
        <f t="shared" ref="Q101:Q104" si="299">(W101-J101)*I101*IF(C101="B",1,-1)*IF(K101=0,1,0)</f>
        <v>#N/A</v>
      </c>
      <c r="R101" s="153" t="e">
        <f t="shared" ca="1" si="214"/>
        <v>#VALUE!</v>
      </c>
      <c r="S101" s="119">
        <f t="shared" ref="S101:S104" si="300">(1-$S$6)*J101</f>
        <v>10.199999999999998</v>
      </c>
      <c r="T101" s="115" t="str">
        <f>VLOOKUP(TRIM($F101),Reference!B:C,2,0)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01" s="120">
        <f t="shared" ref="U101:U104" ca="1" si="301">AC101</f>
        <v>0</v>
      </c>
      <c r="V101" s="120" t="str">
        <f t="shared" si="204"/>
        <v>NIFTY22MAR17700CE</v>
      </c>
      <c r="W101" s="158" t="e">
        <f>VLOOKUP($V101,Reference!BA:BD,4,0)</f>
        <v>#N/A</v>
      </c>
      <c r="X101" s="160">
        <f t="shared" ca="1" si="205"/>
        <v>0</v>
      </c>
      <c r="Y101" s="160">
        <f t="shared" ca="1" si="206"/>
        <v>0</v>
      </c>
      <c r="Z101" s="160">
        <f t="shared" ca="1" si="215"/>
        <v>0</v>
      </c>
      <c r="AA101" s="160">
        <f t="shared" ca="1" si="207"/>
        <v>0</v>
      </c>
      <c r="AB101" s="160">
        <f t="shared" ca="1" si="208"/>
        <v>0</v>
      </c>
      <c r="AC101" s="119">
        <f t="shared" ca="1" si="209"/>
        <v>0</v>
      </c>
      <c r="AD101" s="115">
        <f t="shared" ref="AD101:AD104" ca="1" si="302">(H101-TODAY())/365</f>
        <v>-1.4602739726027398</v>
      </c>
      <c r="AE101" s="115">
        <f t="shared" ref="AE101:AE104" si="303">IF(I101&lt;&gt;0,20,0)</f>
        <v>20</v>
      </c>
      <c r="AF101" s="115"/>
      <c r="AG101" s="115"/>
      <c r="AH101" s="115">
        <f t="shared" si="246"/>
        <v>2.5500000000000003</v>
      </c>
      <c r="AI101" s="115"/>
      <c r="AJ101" s="115">
        <f t="shared" si="247"/>
        <v>0</v>
      </c>
      <c r="AK101" s="115"/>
      <c r="AL101" s="140">
        <v>1</v>
      </c>
      <c r="AM101" s="154"/>
      <c r="AN101" s="154"/>
      <c r="AO101" s="154"/>
      <c r="AP101" s="154"/>
      <c r="AQ101" s="154"/>
      <c r="AR101" s="154"/>
      <c r="AS101" s="154"/>
      <c r="AT101" s="154"/>
      <c r="AU101" s="154"/>
      <c r="AV101" s="154"/>
      <c r="AW101" s="154"/>
      <c r="AX101" s="154"/>
      <c r="AY101" s="154"/>
      <c r="AZ101" s="154"/>
      <c r="BA101" s="154"/>
      <c r="BB101" s="154"/>
      <c r="BC101" s="154"/>
      <c r="BD101" s="154"/>
      <c r="BE101" s="154"/>
      <c r="BF101" s="154"/>
      <c r="BG101" s="154"/>
      <c r="BS101" s="11">
        <v>3</v>
      </c>
      <c r="BT101" s="11">
        <v>44491</v>
      </c>
      <c r="BU101" s="11" t="s">
        <v>8</v>
      </c>
      <c r="BV101" s="11" t="s">
        <v>481</v>
      </c>
      <c r="BW101" s="11" t="s">
        <v>502</v>
      </c>
      <c r="BX101" s="11">
        <v>18700</v>
      </c>
      <c r="BY101" s="11">
        <v>34.75</v>
      </c>
      <c r="BZ101" s="11">
        <v>0.05</v>
      </c>
      <c r="CA101" s="11">
        <v>17263.657599999999</v>
      </c>
      <c r="CB101" s="11">
        <v>1.4388489208633094E-3</v>
      </c>
      <c r="CC101" s="11">
        <v>500</v>
      </c>
      <c r="CD101" s="11">
        <v>50</v>
      </c>
      <c r="CE101" s="11">
        <v>17375</v>
      </c>
    </row>
    <row r="102" spans="1:83" hidden="1">
      <c r="A102" s="13">
        <f t="shared" si="244"/>
        <v>95</v>
      </c>
      <c r="B102" s="123">
        <v>44642</v>
      </c>
      <c r="C102" s="116" t="s">
        <v>6</v>
      </c>
      <c r="D102" s="116">
        <v>1</v>
      </c>
      <c r="E102" s="115" t="s">
        <v>632</v>
      </c>
      <c r="F102" s="116" t="s">
        <v>284</v>
      </c>
      <c r="G102" s="115"/>
      <c r="H102" s="117">
        <v>44679</v>
      </c>
      <c r="I102" s="115">
        <v>2850</v>
      </c>
      <c r="J102" s="115">
        <v>438.5</v>
      </c>
      <c r="K102" s="115">
        <v>459.5</v>
      </c>
      <c r="L102" s="119">
        <f t="shared" ca="1" si="212"/>
        <v>0</v>
      </c>
      <c r="M102" s="119">
        <f t="shared" si="213"/>
        <v>59850</v>
      </c>
      <c r="N102" s="115">
        <f t="shared" si="297"/>
        <v>1.047890535917902</v>
      </c>
      <c r="O102" s="156">
        <f t="shared" si="298"/>
        <v>328.875</v>
      </c>
      <c r="P102" s="160">
        <f t="shared" si="245"/>
        <v>1249725</v>
      </c>
      <c r="Q102" s="160" t="e">
        <f t="shared" si="299"/>
        <v>#N/A</v>
      </c>
      <c r="R102" s="153" t="e">
        <f t="shared" ca="1" si="214"/>
        <v>#VALUE!</v>
      </c>
      <c r="S102" s="119">
        <f t="shared" si="300"/>
        <v>43.849999999999987</v>
      </c>
      <c r="T102" s="115" t="e">
        <f>VLOOKUP(TRIM($F102),Reference!B:C,2,0)</f>
        <v>#VALUE!</v>
      </c>
      <c r="U102" s="170">
        <f t="shared" ca="1" si="301"/>
        <v>0</v>
      </c>
      <c r="V102" s="120" t="str">
        <f t="shared" si="204"/>
        <v>TATAMOTORS22APRFUT</v>
      </c>
      <c r="W102" s="158" t="e">
        <f>VLOOKUP($V102,Reference!BA:BD,4,0)</f>
        <v>#N/A</v>
      </c>
      <c r="X102" s="160">
        <f t="shared" ca="1" si="205"/>
        <v>0</v>
      </c>
      <c r="Y102" s="160">
        <f t="shared" ca="1" si="206"/>
        <v>0</v>
      </c>
      <c r="Z102" s="160">
        <f t="shared" ca="1" si="215"/>
        <v>0</v>
      </c>
      <c r="AA102" s="160">
        <f t="shared" ca="1" si="207"/>
        <v>0</v>
      </c>
      <c r="AB102" s="160">
        <f t="shared" ca="1" si="208"/>
        <v>0</v>
      </c>
      <c r="AC102" s="119">
        <f t="shared" ca="1" si="209"/>
        <v>0</v>
      </c>
      <c r="AD102" s="115">
        <f t="shared" ca="1" si="302"/>
        <v>-1.3835616438356164</v>
      </c>
      <c r="AE102" s="115">
        <f t="shared" si="303"/>
        <v>20</v>
      </c>
      <c r="AF102" s="115"/>
      <c r="AG102" s="115"/>
      <c r="AH102" s="115">
        <f t="shared" si="246"/>
        <v>0</v>
      </c>
      <c r="AI102" s="115"/>
      <c r="AJ102" s="115">
        <f t="shared" si="247"/>
        <v>37.491750000000003</v>
      </c>
      <c r="AK102" s="115"/>
      <c r="AL102" s="142"/>
      <c r="AM102" s="153"/>
      <c r="AN102" s="153"/>
      <c r="AO102" s="153"/>
      <c r="AP102" s="153"/>
      <c r="AQ102" s="153"/>
      <c r="AR102" s="153"/>
      <c r="AS102" s="153"/>
      <c r="AT102" s="153"/>
      <c r="AU102" s="153"/>
      <c r="AV102" s="153"/>
      <c r="AW102" s="153"/>
      <c r="AX102" s="153"/>
      <c r="AY102" s="153"/>
      <c r="AZ102" s="153"/>
      <c r="BA102" s="153"/>
      <c r="BB102" s="153"/>
      <c r="BC102" s="153"/>
      <c r="BD102" s="153"/>
      <c r="BE102" s="153"/>
      <c r="BF102" s="153"/>
      <c r="BG102" s="153"/>
      <c r="BS102" s="13">
        <v>2</v>
      </c>
      <c r="BT102" s="123">
        <v>44491</v>
      </c>
      <c r="BU102" s="116" t="s">
        <v>8</v>
      </c>
      <c r="BV102" s="115" t="s">
        <v>482</v>
      </c>
      <c r="BW102" s="116" t="s">
        <v>502</v>
      </c>
      <c r="BX102" s="115">
        <v>18400</v>
      </c>
      <c r="BY102" s="115">
        <v>41.7</v>
      </c>
      <c r="BZ102" s="115">
        <v>47.945</v>
      </c>
      <c r="CA102" s="119">
        <v>-3216.6708800000001</v>
      </c>
      <c r="CB102" s="115">
        <v>1.1497601918465228</v>
      </c>
      <c r="CC102" s="115">
        <v>500</v>
      </c>
      <c r="CD102" s="115">
        <v>50</v>
      </c>
      <c r="CE102" s="119">
        <v>20850</v>
      </c>
    </row>
    <row r="103" spans="1:83" hidden="1">
      <c r="A103" s="13">
        <f t="shared" si="244"/>
        <v>96</v>
      </c>
      <c r="B103" s="123">
        <v>44643</v>
      </c>
      <c r="C103" s="116" t="s">
        <v>6</v>
      </c>
      <c r="D103" s="116">
        <v>1</v>
      </c>
      <c r="E103" s="115" t="s">
        <v>632</v>
      </c>
      <c r="F103" s="116" t="s">
        <v>502</v>
      </c>
      <c r="G103" s="115"/>
      <c r="H103" s="117">
        <v>44651</v>
      </c>
      <c r="I103" s="115">
        <v>100</v>
      </c>
      <c r="J103" s="115">
        <v>17440</v>
      </c>
      <c r="K103" s="115">
        <v>17488.25</v>
      </c>
      <c r="L103" s="119">
        <f t="shared" ca="1" si="212"/>
        <v>0</v>
      </c>
      <c r="M103" s="119">
        <f t="shared" si="213"/>
        <v>4825</v>
      </c>
      <c r="N103" s="115">
        <f t="shared" si="297"/>
        <v>1.0027666284403669</v>
      </c>
      <c r="O103" s="156">
        <f t="shared" si="298"/>
        <v>13080</v>
      </c>
      <c r="P103" s="160">
        <f t="shared" si="245"/>
        <v>1744000</v>
      </c>
      <c r="Q103" s="160" t="e">
        <f t="shared" si="299"/>
        <v>#N/A</v>
      </c>
      <c r="R103" s="153" t="e">
        <f t="shared" ca="1" si="214"/>
        <v>#VALUE!</v>
      </c>
      <c r="S103" s="119">
        <f t="shared" si="300"/>
        <v>1743.9999999999995</v>
      </c>
      <c r="T103" s="115" t="str">
        <f>VLOOKUP(TRIM($F103),Reference!B:C,2,0)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03" s="170">
        <f t="shared" ca="1" si="301"/>
        <v>0</v>
      </c>
      <c r="V103" s="120" t="str">
        <f t="shared" si="204"/>
        <v>NIFTY22MARFUT</v>
      </c>
      <c r="W103" s="158" t="e">
        <f>VLOOKUP($V103,Reference!BA:BD,4,0)</f>
        <v>#N/A</v>
      </c>
      <c r="X103" s="160">
        <f t="shared" ca="1" si="205"/>
        <v>0</v>
      </c>
      <c r="Y103" s="160">
        <f t="shared" ca="1" si="206"/>
        <v>0</v>
      </c>
      <c r="Z103" s="160">
        <f t="shared" ca="1" si="215"/>
        <v>0</v>
      </c>
      <c r="AA103" s="160">
        <f t="shared" ca="1" si="207"/>
        <v>0</v>
      </c>
      <c r="AB103" s="160">
        <f t="shared" ca="1" si="208"/>
        <v>0</v>
      </c>
      <c r="AC103" s="119">
        <f t="shared" ca="1" si="209"/>
        <v>0</v>
      </c>
      <c r="AD103" s="115">
        <f t="shared" ca="1" si="302"/>
        <v>-1.4602739726027398</v>
      </c>
      <c r="AE103" s="115">
        <f t="shared" si="303"/>
        <v>20</v>
      </c>
      <c r="AF103" s="115"/>
      <c r="AG103" s="115"/>
      <c r="AH103" s="115">
        <f t="shared" si="246"/>
        <v>0</v>
      </c>
      <c r="AI103" s="115"/>
      <c r="AJ103" s="115">
        <f t="shared" si="247"/>
        <v>52.32</v>
      </c>
      <c r="AK103" s="115"/>
      <c r="AL103" s="142"/>
      <c r="AM103" s="153"/>
      <c r="AN103" s="153"/>
      <c r="AO103" s="153"/>
      <c r="AP103" s="153"/>
      <c r="AQ103" s="153"/>
      <c r="AR103" s="153"/>
      <c r="AS103" s="153"/>
      <c r="AT103" s="153"/>
      <c r="AU103" s="153"/>
      <c r="AV103" s="153"/>
      <c r="AW103" s="153"/>
      <c r="AX103" s="153"/>
      <c r="AY103" s="153"/>
      <c r="AZ103" s="153"/>
      <c r="BA103" s="153"/>
      <c r="BB103" s="153"/>
      <c r="BC103" s="153"/>
      <c r="BD103" s="153"/>
      <c r="BE103" s="153"/>
      <c r="BF103" s="153"/>
      <c r="BG103" s="153"/>
      <c r="BS103" s="13">
        <v>2</v>
      </c>
      <c r="BT103" s="123">
        <v>44491</v>
      </c>
      <c r="BU103" s="116" t="s">
        <v>8</v>
      </c>
      <c r="BV103" s="115" t="s">
        <v>482</v>
      </c>
      <c r="BW103" s="116" t="s">
        <v>502</v>
      </c>
      <c r="BX103" s="115">
        <v>18400</v>
      </c>
      <c r="BY103" s="115">
        <v>41.7</v>
      </c>
      <c r="BZ103" s="115">
        <v>47.945</v>
      </c>
      <c r="CA103" s="119">
        <v>-3216.6708800000001</v>
      </c>
      <c r="CB103" s="115">
        <v>1.1497601918465228</v>
      </c>
      <c r="CC103" s="115">
        <v>500</v>
      </c>
      <c r="CD103" s="115">
        <v>50</v>
      </c>
      <c r="CE103" s="119">
        <v>20850</v>
      </c>
    </row>
    <row r="104" spans="1:83" hidden="1">
      <c r="A104" s="13">
        <f t="shared" si="244"/>
        <v>97</v>
      </c>
      <c r="B104" s="123">
        <v>44623</v>
      </c>
      <c r="C104" s="116" t="s">
        <v>6</v>
      </c>
      <c r="D104" s="116">
        <v>1</v>
      </c>
      <c r="E104" s="115" t="s">
        <v>632</v>
      </c>
      <c r="F104" s="116" t="s">
        <v>130</v>
      </c>
      <c r="G104" s="115"/>
      <c r="H104" s="117">
        <v>44651</v>
      </c>
      <c r="I104" s="115">
        <v>6750</v>
      </c>
      <c r="J104" s="115">
        <v>230.3</v>
      </c>
      <c r="K104" s="115">
        <v>237</v>
      </c>
      <c r="L104" s="119">
        <f t="shared" ca="1" si="212"/>
        <v>0</v>
      </c>
      <c r="M104" s="119">
        <f t="shared" si="213"/>
        <v>45224.99999999992</v>
      </c>
      <c r="N104" s="115">
        <f t="shared" si="297"/>
        <v>1.0290924880590533</v>
      </c>
      <c r="O104" s="156">
        <f t="shared" si="298"/>
        <v>172.72500000000002</v>
      </c>
      <c r="P104" s="160">
        <f t="shared" si="245"/>
        <v>1554525</v>
      </c>
      <c r="Q104" s="160" t="e">
        <f t="shared" si="299"/>
        <v>#N/A</v>
      </c>
      <c r="R104" s="153" t="e">
        <f t="shared" ca="1" si="214"/>
        <v>#VALUE!</v>
      </c>
      <c r="S104" s="119">
        <f t="shared" si="300"/>
        <v>23.029999999999998</v>
      </c>
      <c r="T104" s="115" t="e">
        <f>VLOOKUP(TRIM($F104),Reference!B:C,2,0)</f>
        <v>#VALUE!</v>
      </c>
      <c r="U104" s="170">
        <f t="shared" ca="1" si="301"/>
        <v>0</v>
      </c>
      <c r="V104" s="120" t="str">
        <f t="shared" si="204"/>
        <v>TATAPOWER22MARFUT</v>
      </c>
      <c r="W104" s="158" t="e">
        <f>VLOOKUP($V104,Reference!BA:BD,4,0)</f>
        <v>#N/A</v>
      </c>
      <c r="X104" s="160">
        <f t="shared" ca="1" si="205"/>
        <v>0</v>
      </c>
      <c r="Y104" s="160">
        <f t="shared" ca="1" si="206"/>
        <v>0</v>
      </c>
      <c r="Z104" s="160">
        <f t="shared" ca="1" si="215"/>
        <v>0</v>
      </c>
      <c r="AA104" s="160">
        <f t="shared" ca="1" si="207"/>
        <v>0</v>
      </c>
      <c r="AB104" s="160">
        <f t="shared" ca="1" si="208"/>
        <v>0</v>
      </c>
      <c r="AC104" s="119">
        <f t="shared" ca="1" si="209"/>
        <v>0</v>
      </c>
      <c r="AD104" s="115">
        <f t="shared" ca="1" si="302"/>
        <v>-1.4602739726027398</v>
      </c>
      <c r="AE104" s="115">
        <f t="shared" si="303"/>
        <v>20</v>
      </c>
      <c r="AF104" s="115"/>
      <c r="AG104" s="115"/>
      <c r="AH104" s="115">
        <f t="shared" si="246"/>
        <v>0</v>
      </c>
      <c r="AI104" s="115"/>
      <c r="AJ104" s="115">
        <f t="shared" si="247"/>
        <v>46.635750000000002</v>
      </c>
      <c r="AK104" s="115"/>
      <c r="AL104" s="142"/>
      <c r="AM104" s="153"/>
      <c r="AN104" s="153"/>
      <c r="AO104" s="153"/>
      <c r="AP104" s="153"/>
      <c r="AQ104" s="153"/>
      <c r="AR104" s="153"/>
      <c r="AS104" s="153"/>
      <c r="AT104" s="153"/>
      <c r="AU104" s="153"/>
      <c r="AV104" s="153"/>
      <c r="AW104" s="153"/>
      <c r="AX104" s="153"/>
      <c r="AY104" s="153"/>
      <c r="AZ104" s="153"/>
      <c r="BA104" s="153"/>
      <c r="BB104" s="153"/>
      <c r="BC104" s="153"/>
      <c r="BD104" s="153"/>
      <c r="BE104" s="153"/>
      <c r="BF104" s="153"/>
      <c r="BG104" s="153"/>
      <c r="BS104" s="13">
        <v>2</v>
      </c>
      <c r="BT104" s="123">
        <v>44491</v>
      </c>
      <c r="BU104" s="116" t="s">
        <v>8</v>
      </c>
      <c r="BV104" s="115" t="s">
        <v>482</v>
      </c>
      <c r="BW104" s="116" t="s">
        <v>502</v>
      </c>
      <c r="BX104" s="115">
        <v>18400</v>
      </c>
      <c r="BY104" s="115">
        <v>41.7</v>
      </c>
      <c r="BZ104" s="115">
        <v>47.945</v>
      </c>
      <c r="CA104" s="119">
        <v>-3216.6708800000001</v>
      </c>
      <c r="CB104" s="115">
        <v>1.1497601918465228</v>
      </c>
      <c r="CC104" s="115">
        <v>500</v>
      </c>
      <c r="CD104" s="115">
        <v>50</v>
      </c>
      <c r="CE104" s="119">
        <v>20850</v>
      </c>
    </row>
    <row r="105" spans="1:83" hidden="1">
      <c r="A105" s="13">
        <f t="shared" si="244"/>
        <v>98</v>
      </c>
      <c r="B105" s="123">
        <v>44674</v>
      </c>
      <c r="C105" s="116" t="s">
        <v>6</v>
      </c>
      <c r="D105" s="116">
        <v>1</v>
      </c>
      <c r="E105" s="115" t="s">
        <v>632</v>
      </c>
      <c r="F105" s="116" t="s">
        <v>130</v>
      </c>
      <c r="G105" s="115"/>
      <c r="H105" s="117">
        <v>44679</v>
      </c>
      <c r="I105" s="115">
        <v>6750</v>
      </c>
      <c r="J105" s="115">
        <v>237.6</v>
      </c>
      <c r="K105" s="115">
        <v>246.6</v>
      </c>
      <c r="L105" s="119">
        <f t="shared" ca="1" si="212"/>
        <v>0</v>
      </c>
      <c r="M105" s="119">
        <f t="shared" si="213"/>
        <v>60750</v>
      </c>
      <c r="N105" s="115">
        <f t="shared" ref="N105:N106" si="304">K105/$J105</f>
        <v>1.0378787878787878</v>
      </c>
      <c r="O105" s="156">
        <f t="shared" ref="O105:O106" si="305">J105*(1+$O$6*IF(C105="B",-1,1))</f>
        <v>178.2</v>
      </c>
      <c r="P105" s="160">
        <f t="shared" si="245"/>
        <v>1603800</v>
      </c>
      <c r="Q105" s="160" t="e">
        <f t="shared" ref="Q105:Q106" si="306">(W105-J105)*I105*IF(C105="B",1,-1)*IF(K105=0,1,0)</f>
        <v>#N/A</v>
      </c>
      <c r="R105" s="153" t="e">
        <f t="shared" ca="1" si="214"/>
        <v>#VALUE!</v>
      </c>
      <c r="S105" s="119">
        <f t="shared" ref="S105:S106" si="307">(1-$S$6)*J105</f>
        <v>23.759999999999994</v>
      </c>
      <c r="T105" s="115" t="e">
        <f>VLOOKUP(TRIM($F105),Reference!B:C,2,0)</f>
        <v>#VALUE!</v>
      </c>
      <c r="U105" s="170">
        <f t="shared" ref="U105:U106" ca="1" si="308">AC105</f>
        <v>0</v>
      </c>
      <c r="V105" s="120" t="str">
        <f t="shared" si="204"/>
        <v>TATAPOWER22APRFUT</v>
      </c>
      <c r="W105" s="158" t="e">
        <f>VLOOKUP($V105,Reference!BA:BD,4,0)</f>
        <v>#N/A</v>
      </c>
      <c r="X105" s="160">
        <f t="shared" ca="1" si="205"/>
        <v>0</v>
      </c>
      <c r="Y105" s="160">
        <f t="shared" ca="1" si="206"/>
        <v>0</v>
      </c>
      <c r="Z105" s="160">
        <f t="shared" ca="1" si="215"/>
        <v>0</v>
      </c>
      <c r="AA105" s="160">
        <f t="shared" ca="1" si="207"/>
        <v>0</v>
      </c>
      <c r="AB105" s="160">
        <f t="shared" ca="1" si="208"/>
        <v>0</v>
      </c>
      <c r="AC105" s="119">
        <f t="shared" ca="1" si="209"/>
        <v>0</v>
      </c>
      <c r="AD105" s="115">
        <f t="shared" ref="AD105:AD106" ca="1" si="309">(H105-TODAY())/365</f>
        <v>-1.3835616438356164</v>
      </c>
      <c r="AE105" s="115">
        <f t="shared" ref="AE105:AE106" si="310">IF(I105&lt;&gt;0,20,0)</f>
        <v>20</v>
      </c>
      <c r="AF105" s="115"/>
      <c r="AG105" s="115"/>
      <c r="AH105" s="115">
        <f t="shared" si="246"/>
        <v>0</v>
      </c>
      <c r="AI105" s="115"/>
      <c r="AJ105" s="115">
        <f t="shared" si="247"/>
        <v>48.114000000000004</v>
      </c>
      <c r="AK105" s="115"/>
      <c r="AL105" s="142"/>
      <c r="AM105" s="153"/>
      <c r="AN105" s="153"/>
      <c r="AO105" s="153"/>
      <c r="AP105" s="153"/>
      <c r="AQ105" s="153"/>
      <c r="AR105" s="153"/>
      <c r="AS105" s="153"/>
      <c r="AT105" s="153"/>
      <c r="AU105" s="153"/>
      <c r="AV105" s="153"/>
      <c r="AW105" s="153"/>
      <c r="AX105" s="153"/>
      <c r="AY105" s="153"/>
      <c r="AZ105" s="153"/>
      <c r="BA105" s="153"/>
      <c r="BB105" s="153"/>
      <c r="BC105" s="153"/>
      <c r="BD105" s="153"/>
      <c r="BE105" s="153"/>
      <c r="BF105" s="153"/>
      <c r="BG105" s="153"/>
      <c r="BS105" s="13">
        <v>2</v>
      </c>
      <c r="BT105" s="123">
        <v>44491</v>
      </c>
      <c r="BU105" s="116" t="s">
        <v>8</v>
      </c>
      <c r="BV105" s="115" t="s">
        <v>482</v>
      </c>
      <c r="BW105" s="116" t="s">
        <v>502</v>
      </c>
      <c r="BX105" s="115">
        <v>18400</v>
      </c>
      <c r="BY105" s="115">
        <v>41.7</v>
      </c>
      <c r="BZ105" s="115">
        <v>47.945</v>
      </c>
      <c r="CA105" s="119">
        <v>-3216.6708800000001</v>
      </c>
      <c r="CB105" s="115">
        <v>1.1497601918465228</v>
      </c>
      <c r="CC105" s="115">
        <v>500</v>
      </c>
      <c r="CD105" s="115">
        <v>50</v>
      </c>
      <c r="CE105" s="119">
        <v>20850</v>
      </c>
    </row>
    <row r="106" spans="1:83" hidden="1">
      <c r="A106" s="13">
        <f t="shared" si="244"/>
        <v>99</v>
      </c>
      <c r="B106" s="123">
        <v>44644</v>
      </c>
      <c r="C106" s="116" t="s">
        <v>8</v>
      </c>
      <c r="D106" s="116">
        <v>1</v>
      </c>
      <c r="E106" s="115" t="s">
        <v>481</v>
      </c>
      <c r="F106" s="116" t="s">
        <v>130</v>
      </c>
      <c r="G106" s="115">
        <v>250</v>
      </c>
      <c r="H106" s="117">
        <v>44651</v>
      </c>
      <c r="I106" s="115">
        <v>6750</v>
      </c>
      <c r="J106" s="115">
        <v>2.0499999999999998</v>
      </c>
      <c r="K106" s="115">
        <v>2.1</v>
      </c>
      <c r="L106" s="119">
        <f t="shared" ca="1" si="212"/>
        <v>0</v>
      </c>
      <c r="M106" s="119">
        <f t="shared" si="213"/>
        <v>-337.50000000000182</v>
      </c>
      <c r="N106" s="115">
        <f t="shared" si="304"/>
        <v>1.024390243902439</v>
      </c>
      <c r="O106" s="156">
        <f t="shared" si="305"/>
        <v>2.5625</v>
      </c>
      <c r="P106" s="160">
        <f t="shared" si="245"/>
        <v>13837.499999999998</v>
      </c>
      <c r="Q106" s="160" t="e">
        <f t="shared" si="306"/>
        <v>#N/A</v>
      </c>
      <c r="R106" s="153" t="e">
        <f t="shared" ca="1" si="214"/>
        <v>#VALUE!</v>
      </c>
      <c r="S106" s="119">
        <f t="shared" si="307"/>
        <v>0.20499999999999993</v>
      </c>
      <c r="T106" s="115" t="e">
        <f>VLOOKUP(TRIM($F106),Reference!B:C,2,0)</f>
        <v>#VALUE!</v>
      </c>
      <c r="U106" s="170">
        <f t="shared" ca="1" si="308"/>
        <v>0</v>
      </c>
      <c r="V106" s="120" t="str">
        <f t="shared" si="204"/>
        <v>TATAPOWER22MAR250CE</v>
      </c>
      <c r="W106" s="158" t="e">
        <f>VLOOKUP($V106,Reference!BA:BD,4,0)</f>
        <v>#N/A</v>
      </c>
      <c r="X106" s="160">
        <f t="shared" ca="1" si="205"/>
        <v>0</v>
      </c>
      <c r="Y106" s="160">
        <f t="shared" ca="1" si="206"/>
        <v>0</v>
      </c>
      <c r="Z106" s="160">
        <f t="shared" ca="1" si="215"/>
        <v>0</v>
      </c>
      <c r="AA106" s="160">
        <f t="shared" ca="1" si="207"/>
        <v>0</v>
      </c>
      <c r="AB106" s="160">
        <f t="shared" ca="1" si="208"/>
        <v>0</v>
      </c>
      <c r="AC106" s="119">
        <f t="shared" ca="1" si="209"/>
        <v>0</v>
      </c>
      <c r="AD106" s="115">
        <f t="shared" ca="1" si="309"/>
        <v>-1.4602739726027398</v>
      </c>
      <c r="AE106" s="115">
        <f t="shared" si="310"/>
        <v>20</v>
      </c>
      <c r="AF106" s="115"/>
      <c r="AG106" s="115"/>
      <c r="AH106" s="115">
        <f t="shared" si="246"/>
        <v>6.9187499999999993</v>
      </c>
      <c r="AI106" s="115"/>
      <c r="AJ106" s="115">
        <f t="shared" si="247"/>
        <v>0</v>
      </c>
      <c r="AK106" s="115"/>
      <c r="AL106" s="142"/>
      <c r="AM106" s="153"/>
      <c r="AN106" s="153"/>
      <c r="AO106" s="153"/>
      <c r="AP106" s="153"/>
      <c r="AQ106" s="153"/>
      <c r="AR106" s="153"/>
      <c r="AS106" s="153"/>
      <c r="AT106" s="153"/>
      <c r="AU106" s="153"/>
      <c r="AV106" s="153"/>
      <c r="AW106" s="153"/>
      <c r="AX106" s="153"/>
      <c r="AY106" s="153"/>
      <c r="AZ106" s="153"/>
      <c r="BA106" s="153"/>
      <c r="BB106" s="153"/>
      <c r="BC106" s="153"/>
      <c r="BD106" s="153"/>
      <c r="BE106" s="153"/>
      <c r="BF106" s="153"/>
      <c r="BG106" s="153"/>
      <c r="BS106" s="13">
        <v>2</v>
      </c>
      <c r="BT106" s="123">
        <v>44491</v>
      </c>
      <c r="BU106" s="116" t="s">
        <v>8</v>
      </c>
      <c r="BV106" s="115" t="s">
        <v>482</v>
      </c>
      <c r="BW106" s="116" t="s">
        <v>502</v>
      </c>
      <c r="BX106" s="115">
        <v>18400</v>
      </c>
      <c r="BY106" s="115">
        <v>41.7</v>
      </c>
      <c r="BZ106" s="115">
        <v>47.945</v>
      </c>
      <c r="CA106" s="119">
        <v>-3216.6708800000001</v>
      </c>
      <c r="CB106" s="115">
        <v>1.1497601918465228</v>
      </c>
      <c r="CC106" s="115">
        <v>500</v>
      </c>
      <c r="CD106" s="115">
        <v>50</v>
      </c>
      <c r="CE106" s="119">
        <v>20850</v>
      </c>
    </row>
    <row r="107" spans="1:83" hidden="1">
      <c r="A107" s="13">
        <f t="shared" si="244"/>
        <v>100</v>
      </c>
      <c r="B107" s="123">
        <v>44644</v>
      </c>
      <c r="C107" s="116" t="s">
        <v>6</v>
      </c>
      <c r="D107" s="116">
        <v>0</v>
      </c>
      <c r="E107" s="115" t="s">
        <v>632</v>
      </c>
      <c r="F107" s="116" t="s">
        <v>399</v>
      </c>
      <c r="G107" s="115"/>
      <c r="H107" s="117">
        <v>44679</v>
      </c>
      <c r="I107" s="115">
        <v>575</v>
      </c>
      <c r="J107" s="115">
        <v>1780.35</v>
      </c>
      <c r="K107" s="115">
        <v>1678</v>
      </c>
      <c r="L107" s="119">
        <f t="shared" ca="1" si="212"/>
        <v>0</v>
      </c>
      <c r="M107" s="119">
        <f t="shared" si="213"/>
        <v>0</v>
      </c>
      <c r="N107" s="115">
        <f t="shared" ref="N107:N116" si="311">K107/$J107</f>
        <v>0.94251130395708715</v>
      </c>
      <c r="O107" s="156">
        <f t="shared" ref="O107:O116" si="312">J107*(1+$O$6*IF(C107="B",-1,1))</f>
        <v>1335.2624999999998</v>
      </c>
      <c r="P107" s="160">
        <f t="shared" si="245"/>
        <v>0</v>
      </c>
      <c r="Q107" s="160" t="e">
        <f t="shared" ref="Q107:Q116" si="313">(W107-J107)*I107*IF(C107="B",1,-1)*IF(K107=0,1,0)</f>
        <v>#N/A</v>
      </c>
      <c r="R107" s="153" t="e">
        <f t="shared" ca="1" si="214"/>
        <v>#VALUE!</v>
      </c>
      <c r="S107" s="119">
        <f t="shared" ref="S107:S116" si="314">(1-$S$6)*J107</f>
        <v>178.03499999999994</v>
      </c>
      <c r="T107" s="115" t="e">
        <f>VLOOKUP(TRIM($F107),Reference!B:C,2,0)</f>
        <v>#VALUE!</v>
      </c>
      <c r="U107" s="170">
        <f t="shared" ref="U107:U116" ca="1" si="315">AC107</f>
        <v>0</v>
      </c>
      <c r="V107" s="120" t="str">
        <f t="shared" si="204"/>
        <v>LT22APRFUT</v>
      </c>
      <c r="W107" s="158" t="e">
        <f>VLOOKUP($V107,Reference!BA:BD,4,0)</f>
        <v>#N/A</v>
      </c>
      <c r="X107" s="160">
        <f t="shared" ca="1" si="205"/>
        <v>0</v>
      </c>
      <c r="Y107" s="160">
        <f t="shared" ca="1" si="206"/>
        <v>0</v>
      </c>
      <c r="Z107" s="160">
        <f t="shared" ca="1" si="215"/>
        <v>0</v>
      </c>
      <c r="AA107" s="160">
        <f t="shared" ca="1" si="207"/>
        <v>0</v>
      </c>
      <c r="AB107" s="160">
        <f t="shared" ca="1" si="208"/>
        <v>0</v>
      </c>
      <c r="AC107" s="119">
        <f t="shared" ca="1" si="209"/>
        <v>0</v>
      </c>
      <c r="AD107" s="115">
        <f t="shared" ref="AD107:AD116" ca="1" si="316">(H107-TODAY())/365</f>
        <v>-1.3835616438356164</v>
      </c>
      <c r="AE107" s="115">
        <f t="shared" ref="AE107:AE116" si="317">IF(I107&lt;&gt;0,20,0)</f>
        <v>20</v>
      </c>
      <c r="AF107" s="115"/>
      <c r="AG107" s="115"/>
      <c r="AH107" s="115">
        <f t="shared" si="246"/>
        <v>0</v>
      </c>
      <c r="AI107" s="115"/>
      <c r="AJ107" s="115">
        <f t="shared" si="247"/>
        <v>0</v>
      </c>
      <c r="AK107" s="115"/>
      <c r="AL107" s="142"/>
      <c r="AM107" s="153"/>
      <c r="AN107" s="153"/>
      <c r="AO107" s="153"/>
      <c r="AP107" s="153"/>
      <c r="AQ107" s="153"/>
      <c r="AR107" s="153"/>
      <c r="AS107" s="153"/>
      <c r="AT107" s="153"/>
      <c r="AU107" s="153"/>
      <c r="AV107" s="153"/>
      <c r="AW107" s="153"/>
      <c r="AX107" s="153"/>
      <c r="AY107" s="153"/>
      <c r="AZ107" s="153"/>
      <c r="BA107" s="153"/>
      <c r="BB107" s="153"/>
      <c r="BC107" s="153"/>
      <c r="BD107" s="153"/>
      <c r="BE107" s="153"/>
      <c r="BF107" s="153"/>
      <c r="BG107" s="153"/>
      <c r="BS107" s="13">
        <v>2</v>
      </c>
      <c r="BT107" s="123">
        <v>44491</v>
      </c>
      <c r="BU107" s="116" t="s">
        <v>8</v>
      </c>
      <c r="BV107" s="115" t="s">
        <v>482</v>
      </c>
      <c r="BW107" s="116" t="s">
        <v>502</v>
      </c>
      <c r="BX107" s="115">
        <v>18400</v>
      </c>
      <c r="BY107" s="115">
        <v>41.7</v>
      </c>
      <c r="BZ107" s="115">
        <v>47.945</v>
      </c>
      <c r="CA107" s="119">
        <v>-3216.6708800000001</v>
      </c>
      <c r="CB107" s="115">
        <v>1.1497601918465228</v>
      </c>
      <c r="CC107" s="115">
        <v>500</v>
      </c>
      <c r="CD107" s="115">
        <v>50</v>
      </c>
      <c r="CE107" s="119">
        <v>20850</v>
      </c>
    </row>
    <row r="108" spans="1:83" hidden="1">
      <c r="A108" s="13">
        <f t="shared" si="244"/>
        <v>101</v>
      </c>
      <c r="B108" s="123">
        <v>44644</v>
      </c>
      <c r="C108" s="116" t="s">
        <v>8</v>
      </c>
      <c r="D108" s="116">
        <v>1</v>
      </c>
      <c r="E108" s="115" t="s">
        <v>481</v>
      </c>
      <c r="F108" s="116" t="s">
        <v>399</v>
      </c>
      <c r="G108" s="115">
        <v>2000</v>
      </c>
      <c r="H108" s="117">
        <v>44679</v>
      </c>
      <c r="I108" s="115">
        <v>575</v>
      </c>
      <c r="J108" s="115">
        <v>9.75</v>
      </c>
      <c r="K108" s="115">
        <v>0.95</v>
      </c>
      <c r="L108" s="119">
        <f t="shared" ca="1" si="212"/>
        <v>0</v>
      </c>
      <c r="M108" s="119">
        <f t="shared" si="213"/>
        <v>5060</v>
      </c>
      <c r="N108" s="115">
        <f t="shared" si="311"/>
        <v>9.7435897435897437E-2</v>
      </c>
      <c r="O108" s="156">
        <f t="shared" si="312"/>
        <v>12.1875</v>
      </c>
      <c r="P108" s="160">
        <f t="shared" si="245"/>
        <v>5606.25</v>
      </c>
      <c r="Q108" s="160" t="e">
        <f t="shared" si="313"/>
        <v>#N/A</v>
      </c>
      <c r="R108" s="153" t="e">
        <f t="shared" ca="1" si="214"/>
        <v>#VALUE!</v>
      </c>
      <c r="S108" s="119">
        <f t="shared" si="314"/>
        <v>0.97499999999999976</v>
      </c>
      <c r="T108" s="115" t="e">
        <f>VLOOKUP(TRIM($F108),Reference!B:C,2,0)</f>
        <v>#VALUE!</v>
      </c>
      <c r="U108" s="170">
        <f t="shared" ca="1" si="315"/>
        <v>0</v>
      </c>
      <c r="V108" s="120" t="str">
        <f t="shared" si="204"/>
        <v>LT22APR2000CE</v>
      </c>
      <c r="W108" s="158" t="e">
        <f>VLOOKUP($V108,Reference!BA:BD,4,0)</f>
        <v>#N/A</v>
      </c>
      <c r="X108" s="160">
        <f t="shared" ca="1" si="205"/>
        <v>0</v>
      </c>
      <c r="Y108" s="160">
        <f t="shared" ca="1" si="206"/>
        <v>0</v>
      </c>
      <c r="Z108" s="160">
        <f t="shared" ca="1" si="215"/>
        <v>0</v>
      </c>
      <c r="AA108" s="160">
        <f t="shared" ca="1" si="207"/>
        <v>0</v>
      </c>
      <c r="AB108" s="160">
        <f t="shared" ca="1" si="208"/>
        <v>0</v>
      </c>
      <c r="AC108" s="119">
        <f t="shared" ca="1" si="209"/>
        <v>0</v>
      </c>
      <c r="AD108" s="115">
        <f t="shared" ca="1" si="316"/>
        <v>-1.3835616438356164</v>
      </c>
      <c r="AE108" s="115">
        <f t="shared" si="317"/>
        <v>20</v>
      </c>
      <c r="AF108" s="115"/>
      <c r="AG108" s="115"/>
      <c r="AH108" s="115">
        <f t="shared" si="246"/>
        <v>2.8031250000000001</v>
      </c>
      <c r="AI108" s="115"/>
      <c r="AJ108" s="115">
        <f t="shared" si="247"/>
        <v>0</v>
      </c>
      <c r="AK108" s="115"/>
      <c r="AL108" s="142"/>
      <c r="AM108" s="153"/>
      <c r="AN108" s="153"/>
      <c r="AO108" s="153"/>
      <c r="AP108" s="153"/>
      <c r="AQ108" s="153"/>
      <c r="AR108" s="153"/>
      <c r="AS108" s="153"/>
      <c r="AT108" s="153"/>
      <c r="AU108" s="153"/>
      <c r="AV108" s="153"/>
      <c r="AW108" s="153"/>
      <c r="AX108" s="153"/>
      <c r="AY108" s="153"/>
      <c r="AZ108" s="153"/>
      <c r="BA108" s="153"/>
      <c r="BB108" s="153"/>
      <c r="BC108" s="153"/>
      <c r="BD108" s="153"/>
      <c r="BE108" s="153"/>
      <c r="BF108" s="153"/>
      <c r="BG108" s="153"/>
      <c r="BS108" s="13">
        <v>2</v>
      </c>
      <c r="BT108" s="123">
        <v>44491</v>
      </c>
      <c r="BU108" s="116" t="s">
        <v>8</v>
      </c>
      <c r="BV108" s="115" t="s">
        <v>482</v>
      </c>
      <c r="BW108" s="116" t="s">
        <v>502</v>
      </c>
      <c r="BX108" s="115">
        <v>18400</v>
      </c>
      <c r="BY108" s="115">
        <v>41.7</v>
      </c>
      <c r="BZ108" s="115">
        <v>47.945</v>
      </c>
      <c r="CA108" s="119">
        <v>-3216.6708800000001</v>
      </c>
      <c r="CB108" s="115">
        <v>1.1497601918465228</v>
      </c>
      <c r="CC108" s="115">
        <v>500</v>
      </c>
      <c r="CD108" s="115">
        <v>50</v>
      </c>
      <c r="CE108" s="119">
        <v>20850</v>
      </c>
    </row>
    <row r="109" spans="1:83" hidden="1">
      <c r="A109" s="13">
        <f t="shared" si="244"/>
        <v>102</v>
      </c>
      <c r="B109" s="123">
        <v>44644</v>
      </c>
      <c r="C109" s="116" t="s">
        <v>6</v>
      </c>
      <c r="D109" s="116">
        <v>1</v>
      </c>
      <c r="E109" s="115" t="s">
        <v>632</v>
      </c>
      <c r="F109" s="116" t="s">
        <v>130</v>
      </c>
      <c r="G109" s="115"/>
      <c r="H109" s="117">
        <v>44679</v>
      </c>
      <c r="I109" s="115">
        <v>6750</v>
      </c>
      <c r="J109" s="115">
        <v>240.45</v>
      </c>
      <c r="K109" s="115">
        <v>246.6</v>
      </c>
      <c r="L109" s="119">
        <f t="shared" ca="1" si="212"/>
        <v>0</v>
      </c>
      <c r="M109" s="119">
        <f t="shared" si="213"/>
        <v>41512.500000000036</v>
      </c>
      <c r="N109" s="115">
        <f t="shared" si="311"/>
        <v>1.0255770430442919</v>
      </c>
      <c r="O109" s="156">
        <f t="shared" si="312"/>
        <v>180.33749999999998</v>
      </c>
      <c r="P109" s="160">
        <f t="shared" si="245"/>
        <v>1623037.5</v>
      </c>
      <c r="Q109" s="160" t="e">
        <f t="shared" si="313"/>
        <v>#N/A</v>
      </c>
      <c r="R109" s="153" t="e">
        <f t="shared" ca="1" si="214"/>
        <v>#VALUE!</v>
      </c>
      <c r="S109" s="119">
        <f t="shared" si="314"/>
        <v>24.044999999999995</v>
      </c>
      <c r="T109" s="115" t="e">
        <f>VLOOKUP(TRIM($F109),Reference!B:C,2,0)</f>
        <v>#VALUE!</v>
      </c>
      <c r="U109" s="170">
        <f t="shared" ca="1" si="315"/>
        <v>0</v>
      </c>
      <c r="V109" s="120" t="str">
        <f t="shared" si="204"/>
        <v>TATAPOWER22APRFUT</v>
      </c>
      <c r="W109" s="158" t="e">
        <f>VLOOKUP($V109,Reference!BA:BD,4,0)</f>
        <v>#N/A</v>
      </c>
      <c r="X109" s="160">
        <f t="shared" ca="1" si="205"/>
        <v>0</v>
      </c>
      <c r="Y109" s="160">
        <f t="shared" ca="1" si="206"/>
        <v>0</v>
      </c>
      <c r="Z109" s="160">
        <f t="shared" ca="1" si="215"/>
        <v>0</v>
      </c>
      <c r="AA109" s="160">
        <f t="shared" ca="1" si="207"/>
        <v>0</v>
      </c>
      <c r="AB109" s="160">
        <f t="shared" ca="1" si="208"/>
        <v>0</v>
      </c>
      <c r="AC109" s="119">
        <f t="shared" ca="1" si="209"/>
        <v>0</v>
      </c>
      <c r="AD109" s="115">
        <f t="shared" ca="1" si="316"/>
        <v>-1.3835616438356164</v>
      </c>
      <c r="AE109" s="115">
        <f t="shared" si="317"/>
        <v>20</v>
      </c>
      <c r="AF109" s="115"/>
      <c r="AG109" s="115"/>
      <c r="AH109" s="115">
        <f t="shared" si="246"/>
        <v>0</v>
      </c>
      <c r="AI109" s="115"/>
      <c r="AJ109" s="115">
        <f t="shared" si="247"/>
        <v>48.691125</v>
      </c>
      <c r="AK109" s="115"/>
      <c r="AL109" s="142"/>
      <c r="AM109" s="153"/>
      <c r="AN109" s="153"/>
      <c r="AO109" s="153"/>
      <c r="AP109" s="153"/>
      <c r="AQ109" s="153"/>
      <c r="AR109" s="153"/>
      <c r="AS109" s="153"/>
      <c r="AT109" s="153"/>
      <c r="AU109" s="153"/>
      <c r="AV109" s="153"/>
      <c r="AW109" s="153"/>
      <c r="AX109" s="153"/>
      <c r="AY109" s="153"/>
      <c r="AZ109" s="153"/>
      <c r="BA109" s="153"/>
      <c r="BB109" s="153"/>
      <c r="BC109" s="153"/>
      <c r="BD109" s="153"/>
      <c r="BE109" s="153"/>
      <c r="BF109" s="153"/>
      <c r="BG109" s="153"/>
      <c r="BS109" s="13">
        <v>2</v>
      </c>
      <c r="BT109" s="123">
        <v>44491</v>
      </c>
      <c r="BU109" s="116" t="s">
        <v>8</v>
      </c>
      <c r="BV109" s="115" t="s">
        <v>482</v>
      </c>
      <c r="BW109" s="116" t="s">
        <v>502</v>
      </c>
      <c r="BX109" s="115">
        <v>18400</v>
      </c>
      <c r="BY109" s="115">
        <v>41.7</v>
      </c>
      <c r="BZ109" s="115">
        <v>47.945</v>
      </c>
      <c r="CA109" s="119">
        <v>-3216.6708800000001</v>
      </c>
      <c r="CB109" s="115">
        <v>1.1497601918465228</v>
      </c>
      <c r="CC109" s="115">
        <v>500</v>
      </c>
      <c r="CD109" s="115">
        <v>50</v>
      </c>
      <c r="CE109" s="119">
        <v>20850</v>
      </c>
    </row>
    <row r="110" spans="1:83" hidden="1">
      <c r="A110" s="13">
        <f t="shared" si="244"/>
        <v>103</v>
      </c>
      <c r="B110" s="123">
        <v>44648</v>
      </c>
      <c r="C110" s="116" t="s">
        <v>6</v>
      </c>
      <c r="D110" s="116">
        <v>1</v>
      </c>
      <c r="E110" s="115" t="s">
        <v>632</v>
      </c>
      <c r="F110" s="116" t="s">
        <v>126</v>
      </c>
      <c r="G110" s="115"/>
      <c r="H110" s="117">
        <v>44679</v>
      </c>
      <c r="I110" s="115">
        <v>3750</v>
      </c>
      <c r="J110" s="115">
        <v>228.3</v>
      </c>
      <c r="K110" s="115">
        <v>246.5</v>
      </c>
      <c r="L110" s="119">
        <f t="shared" ca="1" si="212"/>
        <v>0</v>
      </c>
      <c r="M110" s="119">
        <f t="shared" si="213"/>
        <v>68249.999999999956</v>
      </c>
      <c r="N110" s="115">
        <f t="shared" si="311"/>
        <v>1.0797196671046867</v>
      </c>
      <c r="O110" s="156">
        <f t="shared" si="312"/>
        <v>171.22500000000002</v>
      </c>
      <c r="P110" s="160">
        <f t="shared" si="245"/>
        <v>856125</v>
      </c>
      <c r="Q110" s="160" t="e">
        <f t="shared" si="313"/>
        <v>#N/A</v>
      </c>
      <c r="R110" s="153" t="e">
        <f t="shared" ca="1" si="214"/>
        <v>#VALUE!</v>
      </c>
      <c r="S110" s="119">
        <f t="shared" si="314"/>
        <v>22.829999999999995</v>
      </c>
      <c r="T110" s="115" t="e">
        <f>VLOOKUP(TRIM($F110),Reference!B:C,2,0)</f>
        <v>#VALUE!</v>
      </c>
      <c r="U110" s="170">
        <f t="shared" ca="1" si="315"/>
        <v>0</v>
      </c>
      <c r="V110" s="120" t="str">
        <f t="shared" si="204"/>
        <v>IEX22APRFUT</v>
      </c>
      <c r="W110" s="158" t="e">
        <f>VLOOKUP($V110,Reference!BA:BD,4,0)</f>
        <v>#N/A</v>
      </c>
      <c r="X110" s="160">
        <f t="shared" ca="1" si="205"/>
        <v>0</v>
      </c>
      <c r="Y110" s="160">
        <f t="shared" ca="1" si="206"/>
        <v>0</v>
      </c>
      <c r="Z110" s="160">
        <f t="shared" ca="1" si="215"/>
        <v>0</v>
      </c>
      <c r="AA110" s="160">
        <f t="shared" ca="1" si="207"/>
        <v>0</v>
      </c>
      <c r="AB110" s="160">
        <f t="shared" ca="1" si="208"/>
        <v>0</v>
      </c>
      <c r="AC110" s="119">
        <f t="shared" ca="1" si="209"/>
        <v>0</v>
      </c>
      <c r="AD110" s="115">
        <f t="shared" ca="1" si="316"/>
        <v>-1.3835616438356164</v>
      </c>
      <c r="AE110" s="115">
        <f t="shared" si="317"/>
        <v>20</v>
      </c>
      <c r="AF110" s="115"/>
      <c r="AG110" s="115"/>
      <c r="AH110" s="115">
        <f t="shared" si="246"/>
        <v>0</v>
      </c>
      <c r="AI110" s="115"/>
      <c r="AJ110" s="115">
        <f t="shared" si="247"/>
        <v>25.68375</v>
      </c>
      <c r="AK110" s="115"/>
      <c r="AL110" s="142"/>
      <c r="AM110" s="153"/>
      <c r="AN110" s="153"/>
      <c r="AO110" s="153"/>
      <c r="AP110" s="153"/>
      <c r="AQ110" s="153"/>
      <c r="AR110" s="153"/>
      <c r="AS110" s="153"/>
      <c r="AT110" s="153"/>
      <c r="AU110" s="153"/>
      <c r="AV110" s="153"/>
      <c r="AW110" s="153"/>
      <c r="AX110" s="153"/>
      <c r="AY110" s="153"/>
      <c r="AZ110" s="153"/>
      <c r="BA110" s="153"/>
      <c r="BB110" s="153"/>
      <c r="BC110" s="153"/>
      <c r="BD110" s="153"/>
      <c r="BE110" s="153"/>
      <c r="BF110" s="153"/>
      <c r="BG110" s="153"/>
      <c r="BS110" s="13">
        <v>2</v>
      </c>
      <c r="BT110" s="123">
        <v>44491</v>
      </c>
      <c r="BU110" s="116" t="s">
        <v>8</v>
      </c>
      <c r="BV110" s="115" t="s">
        <v>482</v>
      </c>
      <c r="BW110" s="116" t="s">
        <v>502</v>
      </c>
      <c r="BX110" s="115">
        <v>18400</v>
      </c>
      <c r="BY110" s="115">
        <v>41.7</v>
      </c>
      <c r="BZ110" s="115">
        <v>47.945</v>
      </c>
      <c r="CA110" s="119">
        <v>-3216.6708800000001</v>
      </c>
      <c r="CB110" s="115">
        <v>1.1497601918465228</v>
      </c>
      <c r="CC110" s="115">
        <v>500</v>
      </c>
      <c r="CD110" s="115">
        <v>50</v>
      </c>
      <c r="CE110" s="119">
        <v>20850</v>
      </c>
    </row>
    <row r="111" spans="1:83" hidden="1">
      <c r="A111" s="13">
        <f t="shared" si="244"/>
        <v>104</v>
      </c>
      <c r="B111" s="123">
        <v>44648</v>
      </c>
      <c r="C111" s="116" t="s">
        <v>6</v>
      </c>
      <c r="D111" s="116">
        <v>1</v>
      </c>
      <c r="E111" s="115" t="s">
        <v>632</v>
      </c>
      <c r="F111" s="116" t="s">
        <v>284</v>
      </c>
      <c r="G111" s="115"/>
      <c r="H111" s="117">
        <v>44679</v>
      </c>
      <c r="I111" s="115">
        <v>2850</v>
      </c>
      <c r="J111" s="115">
        <v>431</v>
      </c>
      <c r="K111" s="115">
        <v>459.5</v>
      </c>
      <c r="L111" s="119">
        <f t="shared" ca="1" si="212"/>
        <v>0</v>
      </c>
      <c r="M111" s="119">
        <f t="shared" si="213"/>
        <v>81225</v>
      </c>
      <c r="N111" s="115">
        <f t="shared" si="311"/>
        <v>1.0661252900232019</v>
      </c>
      <c r="O111" s="156">
        <f t="shared" si="312"/>
        <v>323.25</v>
      </c>
      <c r="P111" s="160">
        <f t="shared" si="245"/>
        <v>1228350</v>
      </c>
      <c r="Q111" s="160" t="e">
        <f t="shared" si="313"/>
        <v>#N/A</v>
      </c>
      <c r="R111" s="153" t="e">
        <f t="shared" ca="1" si="214"/>
        <v>#VALUE!</v>
      </c>
      <c r="S111" s="119">
        <f t="shared" si="314"/>
        <v>43.099999999999987</v>
      </c>
      <c r="T111" s="115" t="e">
        <f>VLOOKUP(TRIM($F111),Reference!B:C,2,0)</f>
        <v>#VALUE!</v>
      </c>
      <c r="U111" s="170">
        <f t="shared" ca="1" si="315"/>
        <v>0</v>
      </c>
      <c r="V111" s="120" t="str">
        <f t="shared" si="204"/>
        <v>TATAMOTORS22APRFUT</v>
      </c>
      <c r="W111" s="158" t="e">
        <f>VLOOKUP($V111,Reference!BA:BD,4,0)</f>
        <v>#N/A</v>
      </c>
      <c r="X111" s="160">
        <f t="shared" ca="1" si="205"/>
        <v>0</v>
      </c>
      <c r="Y111" s="160">
        <f t="shared" ca="1" si="206"/>
        <v>0</v>
      </c>
      <c r="Z111" s="160">
        <f t="shared" ca="1" si="215"/>
        <v>0</v>
      </c>
      <c r="AA111" s="160">
        <f t="shared" ca="1" si="207"/>
        <v>0</v>
      </c>
      <c r="AB111" s="160">
        <f t="shared" ca="1" si="208"/>
        <v>0</v>
      </c>
      <c r="AC111" s="119">
        <f t="shared" ca="1" si="209"/>
        <v>0</v>
      </c>
      <c r="AD111" s="115">
        <f t="shared" ca="1" si="316"/>
        <v>-1.3835616438356164</v>
      </c>
      <c r="AE111" s="115">
        <f t="shared" si="317"/>
        <v>20</v>
      </c>
      <c r="AF111" s="115"/>
      <c r="AG111" s="115"/>
      <c r="AH111" s="115">
        <f t="shared" si="246"/>
        <v>0</v>
      </c>
      <c r="AI111" s="115"/>
      <c r="AJ111" s="115">
        <f t="shared" si="247"/>
        <v>36.850500000000004</v>
      </c>
      <c r="AK111" s="115"/>
      <c r="AL111" s="142"/>
      <c r="AM111" s="153"/>
      <c r="AN111" s="153"/>
      <c r="AO111" s="153"/>
      <c r="AP111" s="153"/>
      <c r="AQ111" s="153"/>
      <c r="AR111" s="153"/>
      <c r="AS111" s="153"/>
      <c r="AT111" s="153"/>
      <c r="AU111" s="153"/>
      <c r="AV111" s="153"/>
      <c r="AW111" s="153"/>
      <c r="AX111" s="153"/>
      <c r="AY111" s="153"/>
      <c r="AZ111" s="153"/>
      <c r="BA111" s="153"/>
      <c r="BB111" s="153"/>
      <c r="BC111" s="153"/>
      <c r="BD111" s="153"/>
      <c r="BE111" s="153"/>
      <c r="BF111" s="153"/>
      <c r="BG111" s="153"/>
      <c r="BS111" s="13">
        <v>2</v>
      </c>
      <c r="BT111" s="123">
        <v>44491</v>
      </c>
      <c r="BU111" s="116" t="s">
        <v>8</v>
      </c>
      <c r="BV111" s="115" t="s">
        <v>482</v>
      </c>
      <c r="BW111" s="116" t="s">
        <v>502</v>
      </c>
      <c r="BX111" s="115">
        <v>18400</v>
      </c>
      <c r="BY111" s="115">
        <v>41.7</v>
      </c>
      <c r="BZ111" s="115">
        <v>47.945</v>
      </c>
      <c r="CA111" s="119">
        <v>-3216.6708800000001</v>
      </c>
      <c r="CB111" s="115">
        <v>1.1497601918465228</v>
      </c>
      <c r="CC111" s="115">
        <v>500</v>
      </c>
      <c r="CD111" s="115">
        <v>50</v>
      </c>
      <c r="CE111" s="119">
        <v>20850</v>
      </c>
    </row>
    <row r="112" spans="1:83" hidden="1">
      <c r="A112" s="13">
        <f t="shared" si="244"/>
        <v>105</v>
      </c>
      <c r="B112" s="123">
        <v>44648</v>
      </c>
      <c r="C112" s="116" t="s">
        <v>6</v>
      </c>
      <c r="D112" s="116">
        <v>0</v>
      </c>
      <c r="E112" s="115" t="s">
        <v>632</v>
      </c>
      <c r="F112" s="116" t="s">
        <v>90</v>
      </c>
      <c r="G112" s="115"/>
      <c r="H112" s="117">
        <v>44679</v>
      </c>
      <c r="I112" s="115">
        <v>150</v>
      </c>
      <c r="J112" s="115">
        <v>3692.8</v>
      </c>
      <c r="K112" s="115">
        <v>3557.3</v>
      </c>
      <c r="L112" s="119">
        <f t="shared" ca="1" si="212"/>
        <v>0</v>
      </c>
      <c r="M112" s="119">
        <f t="shared" si="213"/>
        <v>0</v>
      </c>
      <c r="N112" s="115">
        <f t="shared" si="311"/>
        <v>0.96330697573656843</v>
      </c>
      <c r="O112" s="156">
        <f t="shared" si="312"/>
        <v>2769.6000000000004</v>
      </c>
      <c r="P112" s="160">
        <f t="shared" si="245"/>
        <v>0</v>
      </c>
      <c r="Q112" s="160" t="e">
        <f t="shared" si="313"/>
        <v>#N/A</v>
      </c>
      <c r="R112" s="153" t="e">
        <f t="shared" ca="1" si="214"/>
        <v>#VALUE!</v>
      </c>
      <c r="S112" s="119">
        <f t="shared" si="314"/>
        <v>369.27999999999992</v>
      </c>
      <c r="T112" s="115" t="e">
        <f>VLOOKUP(TRIM($F112),Reference!B:C,2,0)</f>
        <v>#VALUE!</v>
      </c>
      <c r="U112" s="170">
        <f t="shared" ca="1" si="315"/>
        <v>0</v>
      </c>
      <c r="V112" s="120" t="str">
        <f t="shared" si="204"/>
        <v>TCS22APRFUT</v>
      </c>
      <c r="W112" s="158" t="e">
        <f>VLOOKUP($V112,Reference!BA:BD,4,0)</f>
        <v>#N/A</v>
      </c>
      <c r="X112" s="160">
        <f t="shared" ca="1" si="205"/>
        <v>0</v>
      </c>
      <c r="Y112" s="160">
        <f t="shared" ca="1" si="206"/>
        <v>0</v>
      </c>
      <c r="Z112" s="160">
        <f t="shared" ca="1" si="215"/>
        <v>0</v>
      </c>
      <c r="AA112" s="160">
        <f t="shared" ca="1" si="207"/>
        <v>0</v>
      </c>
      <c r="AB112" s="160">
        <f t="shared" ca="1" si="208"/>
        <v>0</v>
      </c>
      <c r="AC112" s="119">
        <f t="shared" ca="1" si="209"/>
        <v>0</v>
      </c>
      <c r="AD112" s="115">
        <f t="shared" ca="1" si="316"/>
        <v>-1.3835616438356164</v>
      </c>
      <c r="AE112" s="115">
        <f t="shared" si="317"/>
        <v>20</v>
      </c>
      <c r="AF112" s="115"/>
      <c r="AG112" s="115"/>
      <c r="AH112" s="115">
        <f t="shared" si="246"/>
        <v>0</v>
      </c>
      <c r="AI112" s="115"/>
      <c r="AJ112" s="115">
        <f t="shared" si="247"/>
        <v>0</v>
      </c>
      <c r="AK112" s="115"/>
      <c r="AL112" s="142"/>
      <c r="AM112" s="153"/>
      <c r="AN112" s="153"/>
      <c r="AO112" s="153"/>
      <c r="AP112" s="153"/>
      <c r="AQ112" s="153"/>
      <c r="AR112" s="153"/>
      <c r="AS112" s="153"/>
      <c r="AT112" s="153"/>
      <c r="AU112" s="153"/>
      <c r="AV112" s="153"/>
      <c r="AW112" s="153"/>
      <c r="AX112" s="153"/>
      <c r="AY112" s="153"/>
      <c r="AZ112" s="153"/>
      <c r="BA112" s="153"/>
      <c r="BB112" s="153"/>
      <c r="BC112" s="153"/>
      <c r="BD112" s="153"/>
      <c r="BE112" s="153"/>
      <c r="BF112" s="153"/>
      <c r="BG112" s="153"/>
      <c r="BS112" s="13">
        <v>2</v>
      </c>
      <c r="BT112" s="123">
        <v>44491</v>
      </c>
      <c r="BU112" s="116" t="s">
        <v>8</v>
      </c>
      <c r="BV112" s="115" t="s">
        <v>482</v>
      </c>
      <c r="BW112" s="116" t="s">
        <v>502</v>
      </c>
      <c r="BX112" s="115">
        <v>18400</v>
      </c>
      <c r="BY112" s="115">
        <v>41.7</v>
      </c>
      <c r="BZ112" s="115">
        <v>47.945</v>
      </c>
      <c r="CA112" s="119">
        <v>-3216.6708800000001</v>
      </c>
      <c r="CB112" s="115">
        <v>1.1497601918465228</v>
      </c>
      <c r="CC112" s="115">
        <v>500</v>
      </c>
      <c r="CD112" s="115">
        <v>50</v>
      </c>
      <c r="CE112" s="119">
        <v>20850</v>
      </c>
    </row>
    <row r="113" spans="1:83" hidden="1">
      <c r="A113" s="13">
        <f t="shared" si="244"/>
        <v>106</v>
      </c>
      <c r="B113" s="123">
        <v>44648</v>
      </c>
      <c r="C113" s="116" t="s">
        <v>6</v>
      </c>
      <c r="D113" s="116">
        <v>1</v>
      </c>
      <c r="E113" s="115" t="s">
        <v>632</v>
      </c>
      <c r="F113" s="116" t="s">
        <v>506</v>
      </c>
      <c r="G113" s="115"/>
      <c r="H113" s="117">
        <v>44679</v>
      </c>
      <c r="I113" s="115">
        <v>25</v>
      </c>
      <c r="J113" s="115">
        <v>35839.550000000003</v>
      </c>
      <c r="K113" s="115">
        <v>37166.199999999997</v>
      </c>
      <c r="L113" s="119">
        <f t="shared" ca="1" si="212"/>
        <v>0</v>
      </c>
      <c r="M113" s="119">
        <f t="shared" si="213"/>
        <v>33166.249999999854</v>
      </c>
      <c r="N113" s="115">
        <f t="shared" si="311"/>
        <v>1.0370163687881124</v>
      </c>
      <c r="O113" s="156">
        <f t="shared" si="312"/>
        <v>26879.662500000002</v>
      </c>
      <c r="P113" s="160">
        <f t="shared" si="245"/>
        <v>895988.75000000012</v>
      </c>
      <c r="Q113" s="160" t="e">
        <f t="shared" si="313"/>
        <v>#N/A</v>
      </c>
      <c r="R113" s="153" t="e">
        <f t="shared" ca="1" si="214"/>
        <v>#VALUE!</v>
      </c>
      <c r="S113" s="119">
        <f t="shared" si="314"/>
        <v>3583.9549999999995</v>
      </c>
      <c r="T113" s="115" t="str">
        <f>VLOOKUP(TRIM($F113),Reference!B:C,2,0)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13" s="170">
        <f t="shared" ca="1" si="315"/>
        <v>0</v>
      </c>
      <c r="V113" s="120" t="str">
        <f t="shared" si="204"/>
        <v>BANKNIFTY22APRFUT</v>
      </c>
      <c r="W113" s="158" t="e">
        <f>VLOOKUP($V113,Reference!BA:BD,4,0)</f>
        <v>#N/A</v>
      </c>
      <c r="X113" s="160">
        <f t="shared" ca="1" si="205"/>
        <v>0</v>
      </c>
      <c r="Y113" s="160">
        <f t="shared" ca="1" si="206"/>
        <v>0</v>
      </c>
      <c r="Z113" s="160">
        <f t="shared" ca="1" si="215"/>
        <v>0</v>
      </c>
      <c r="AA113" s="160">
        <f t="shared" ca="1" si="207"/>
        <v>0</v>
      </c>
      <c r="AB113" s="160">
        <f t="shared" ca="1" si="208"/>
        <v>0</v>
      </c>
      <c r="AC113" s="119">
        <f t="shared" ca="1" si="209"/>
        <v>0</v>
      </c>
      <c r="AD113" s="115">
        <f t="shared" ca="1" si="316"/>
        <v>-1.3835616438356164</v>
      </c>
      <c r="AE113" s="115">
        <f t="shared" si="317"/>
        <v>20</v>
      </c>
      <c r="AF113" s="115"/>
      <c r="AG113" s="115"/>
      <c r="AH113" s="115">
        <f t="shared" si="246"/>
        <v>0</v>
      </c>
      <c r="AI113" s="115"/>
      <c r="AJ113" s="115">
        <f t="shared" si="247"/>
        <v>26.879662500000006</v>
      </c>
      <c r="AK113" s="115"/>
      <c r="AL113" s="142"/>
      <c r="AM113" s="153"/>
      <c r="AN113" s="153"/>
      <c r="AO113" s="153"/>
      <c r="AP113" s="153"/>
      <c r="AQ113" s="153"/>
      <c r="AR113" s="153"/>
      <c r="AS113" s="153"/>
      <c r="AT113" s="153"/>
      <c r="AU113" s="153"/>
      <c r="AV113" s="153"/>
      <c r="AW113" s="153"/>
      <c r="AX113" s="153"/>
      <c r="AY113" s="153"/>
      <c r="AZ113" s="153"/>
      <c r="BA113" s="153"/>
      <c r="BB113" s="153"/>
      <c r="BC113" s="153"/>
      <c r="BD113" s="153"/>
      <c r="BE113" s="153"/>
      <c r="BF113" s="153"/>
      <c r="BG113" s="153"/>
      <c r="BS113" s="13">
        <v>2</v>
      </c>
      <c r="BT113" s="123">
        <v>44491</v>
      </c>
      <c r="BU113" s="116" t="s">
        <v>8</v>
      </c>
      <c r="BV113" s="115" t="s">
        <v>482</v>
      </c>
      <c r="BW113" s="116" t="s">
        <v>502</v>
      </c>
      <c r="BX113" s="115">
        <v>18400</v>
      </c>
      <c r="BY113" s="115">
        <v>41.7</v>
      </c>
      <c r="BZ113" s="115">
        <v>47.945</v>
      </c>
      <c r="CA113" s="119">
        <v>-3216.6708800000001</v>
      </c>
      <c r="CB113" s="115">
        <v>1.1497601918465228</v>
      </c>
      <c r="CC113" s="115">
        <v>500</v>
      </c>
      <c r="CD113" s="115">
        <v>50</v>
      </c>
      <c r="CE113" s="119">
        <v>20850</v>
      </c>
    </row>
    <row r="114" spans="1:83" hidden="1">
      <c r="A114" s="13">
        <f t="shared" si="244"/>
        <v>107</v>
      </c>
      <c r="B114" s="123">
        <v>44648</v>
      </c>
      <c r="C114" s="116" t="s">
        <v>6</v>
      </c>
      <c r="D114" s="116">
        <v>1</v>
      </c>
      <c r="E114" s="115" t="s">
        <v>632</v>
      </c>
      <c r="F114" s="116" t="s">
        <v>506</v>
      </c>
      <c r="G114" s="115"/>
      <c r="H114" s="117">
        <v>44679</v>
      </c>
      <c r="I114" s="115">
        <v>25</v>
      </c>
      <c r="J114" s="115">
        <v>35747.9</v>
      </c>
      <c r="K114" s="115">
        <v>37166.199999999997</v>
      </c>
      <c r="L114" s="119">
        <f t="shared" ca="1" si="212"/>
        <v>0</v>
      </c>
      <c r="M114" s="119">
        <f t="shared" si="213"/>
        <v>35457.499999999891</v>
      </c>
      <c r="N114" s="115">
        <f t="shared" si="311"/>
        <v>1.0396750578355651</v>
      </c>
      <c r="O114" s="156">
        <f t="shared" si="312"/>
        <v>26810.925000000003</v>
      </c>
      <c r="P114" s="160">
        <f t="shared" si="245"/>
        <v>893697.5</v>
      </c>
      <c r="Q114" s="160" t="e">
        <f t="shared" si="313"/>
        <v>#N/A</v>
      </c>
      <c r="R114" s="153" t="e">
        <f t="shared" ca="1" si="214"/>
        <v>#VALUE!</v>
      </c>
      <c r="S114" s="119">
        <f t="shared" si="314"/>
        <v>3574.7899999999995</v>
      </c>
      <c r="T114" s="115" t="str">
        <f>VLOOKUP(TRIM($F114),Reference!B:C,2,0)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14" s="170">
        <f t="shared" ca="1" si="315"/>
        <v>0</v>
      </c>
      <c r="V114" s="120" t="str">
        <f t="shared" si="204"/>
        <v>BANKNIFTY22APRFUT</v>
      </c>
      <c r="W114" s="158" t="e">
        <f>VLOOKUP($V114,Reference!BA:BD,4,0)</f>
        <v>#N/A</v>
      </c>
      <c r="X114" s="160">
        <f t="shared" ca="1" si="205"/>
        <v>0</v>
      </c>
      <c r="Y114" s="160">
        <f t="shared" ca="1" si="206"/>
        <v>0</v>
      </c>
      <c r="Z114" s="160">
        <f t="shared" ca="1" si="215"/>
        <v>0</v>
      </c>
      <c r="AA114" s="160">
        <f t="shared" ca="1" si="207"/>
        <v>0</v>
      </c>
      <c r="AB114" s="160">
        <f t="shared" ca="1" si="208"/>
        <v>0</v>
      </c>
      <c r="AC114" s="119">
        <f t="shared" ca="1" si="209"/>
        <v>0</v>
      </c>
      <c r="AD114" s="115">
        <f t="shared" ca="1" si="316"/>
        <v>-1.3835616438356164</v>
      </c>
      <c r="AE114" s="115">
        <f t="shared" si="317"/>
        <v>20</v>
      </c>
      <c r="AF114" s="115"/>
      <c r="AG114" s="115"/>
      <c r="AH114" s="115">
        <f t="shared" si="246"/>
        <v>0</v>
      </c>
      <c r="AI114" s="115"/>
      <c r="AJ114" s="115">
        <f t="shared" si="247"/>
        <v>26.810925000000001</v>
      </c>
      <c r="AK114" s="115"/>
      <c r="AL114" s="142"/>
      <c r="AM114" s="153"/>
      <c r="AN114" s="153"/>
      <c r="AO114" s="153"/>
      <c r="AP114" s="153"/>
      <c r="AQ114" s="153"/>
      <c r="AR114" s="153"/>
      <c r="AS114" s="153"/>
      <c r="AT114" s="153"/>
      <c r="AU114" s="153"/>
      <c r="AV114" s="153"/>
      <c r="AW114" s="153"/>
      <c r="AX114" s="153"/>
      <c r="AY114" s="153"/>
      <c r="AZ114" s="153"/>
      <c r="BA114" s="153"/>
      <c r="BB114" s="153"/>
      <c r="BC114" s="153"/>
      <c r="BD114" s="153"/>
      <c r="BE114" s="153"/>
      <c r="BF114" s="153"/>
      <c r="BG114" s="153"/>
      <c r="BS114" s="13">
        <v>2</v>
      </c>
      <c r="BT114" s="123">
        <v>44491</v>
      </c>
      <c r="BU114" s="116" t="s">
        <v>8</v>
      </c>
      <c r="BV114" s="115" t="s">
        <v>482</v>
      </c>
      <c r="BW114" s="116" t="s">
        <v>502</v>
      </c>
      <c r="BX114" s="115">
        <v>18400</v>
      </c>
      <c r="BY114" s="115">
        <v>41.7</v>
      </c>
      <c r="BZ114" s="115">
        <v>47.945</v>
      </c>
      <c r="CA114" s="119">
        <v>-3216.6708800000001</v>
      </c>
      <c r="CB114" s="115">
        <v>1.1497601918465228</v>
      </c>
      <c r="CC114" s="115">
        <v>500</v>
      </c>
      <c r="CD114" s="115">
        <v>50</v>
      </c>
      <c r="CE114" s="119">
        <v>20850</v>
      </c>
    </row>
    <row r="115" spans="1:83" hidden="1">
      <c r="A115" s="13">
        <f t="shared" si="244"/>
        <v>108</v>
      </c>
      <c r="B115" s="123">
        <v>44648</v>
      </c>
      <c r="C115" s="116" t="s">
        <v>8</v>
      </c>
      <c r="D115" s="116">
        <v>1</v>
      </c>
      <c r="E115" s="115" t="s">
        <v>481</v>
      </c>
      <c r="F115" s="116" t="s">
        <v>130</v>
      </c>
      <c r="G115" s="115">
        <v>250</v>
      </c>
      <c r="H115" s="117">
        <v>44651</v>
      </c>
      <c r="I115" s="115">
        <v>6750</v>
      </c>
      <c r="J115" s="115">
        <v>1</v>
      </c>
      <c r="K115" s="115">
        <v>0.1</v>
      </c>
      <c r="L115" s="119">
        <f t="shared" ca="1" si="212"/>
        <v>0</v>
      </c>
      <c r="M115" s="119">
        <f t="shared" si="213"/>
        <v>6075</v>
      </c>
      <c r="N115" s="115">
        <f t="shared" si="311"/>
        <v>0.1</v>
      </c>
      <c r="O115" s="156">
        <f t="shared" si="312"/>
        <v>1.25</v>
      </c>
      <c r="P115" s="160">
        <f t="shared" si="245"/>
        <v>6750</v>
      </c>
      <c r="Q115" s="160" t="e">
        <f t="shared" si="313"/>
        <v>#N/A</v>
      </c>
      <c r="R115" s="153" t="e">
        <f t="shared" ca="1" si="214"/>
        <v>#VALUE!</v>
      </c>
      <c r="S115" s="119">
        <f t="shared" si="314"/>
        <v>9.9999999999999978E-2</v>
      </c>
      <c r="T115" s="115" t="e">
        <f>VLOOKUP(TRIM($F115),Reference!B:C,2,0)</f>
        <v>#VALUE!</v>
      </c>
      <c r="U115" s="170">
        <f t="shared" ca="1" si="315"/>
        <v>0</v>
      </c>
      <c r="V115" s="120" t="str">
        <f t="shared" si="204"/>
        <v>TATAPOWER22MAR250CE</v>
      </c>
      <c r="W115" s="158" t="e">
        <f>VLOOKUP($V115,Reference!BA:BD,4,0)</f>
        <v>#N/A</v>
      </c>
      <c r="X115" s="160">
        <f t="shared" ca="1" si="205"/>
        <v>0</v>
      </c>
      <c r="Y115" s="160">
        <f t="shared" ca="1" si="206"/>
        <v>0</v>
      </c>
      <c r="Z115" s="160">
        <f t="shared" ca="1" si="215"/>
        <v>0</v>
      </c>
      <c r="AA115" s="160">
        <f t="shared" ca="1" si="207"/>
        <v>0</v>
      </c>
      <c r="AB115" s="160">
        <f t="shared" ca="1" si="208"/>
        <v>0</v>
      </c>
      <c r="AC115" s="119">
        <f t="shared" ca="1" si="209"/>
        <v>0</v>
      </c>
      <c r="AD115" s="115">
        <f t="shared" ca="1" si="316"/>
        <v>-1.4602739726027398</v>
      </c>
      <c r="AE115" s="115">
        <f t="shared" si="317"/>
        <v>20</v>
      </c>
      <c r="AF115" s="115"/>
      <c r="AG115" s="115"/>
      <c r="AH115" s="115">
        <f t="shared" si="246"/>
        <v>3.375</v>
      </c>
      <c r="AI115" s="115"/>
      <c r="AJ115" s="115">
        <f t="shared" si="247"/>
        <v>0</v>
      </c>
      <c r="AK115" s="115"/>
      <c r="AL115" s="142"/>
      <c r="AM115" s="153"/>
      <c r="AN115" s="153"/>
      <c r="AO115" s="153"/>
      <c r="AP115" s="153"/>
      <c r="AQ115" s="153"/>
      <c r="AR115" s="153"/>
      <c r="AS115" s="153"/>
      <c r="AT115" s="153"/>
      <c r="AU115" s="153"/>
      <c r="AV115" s="153"/>
      <c r="AW115" s="153"/>
      <c r="AX115" s="153"/>
      <c r="AY115" s="153"/>
      <c r="AZ115" s="153"/>
      <c r="BA115" s="153"/>
      <c r="BB115" s="153"/>
      <c r="BC115" s="153"/>
      <c r="BD115" s="153"/>
      <c r="BE115" s="153"/>
      <c r="BF115" s="153"/>
      <c r="BG115" s="153"/>
      <c r="BS115" s="13">
        <v>2</v>
      </c>
      <c r="BT115" s="123">
        <v>44491</v>
      </c>
      <c r="BU115" s="116" t="s">
        <v>8</v>
      </c>
      <c r="BV115" s="115" t="s">
        <v>482</v>
      </c>
      <c r="BW115" s="116" t="s">
        <v>502</v>
      </c>
      <c r="BX115" s="115">
        <v>18400</v>
      </c>
      <c r="BY115" s="115">
        <v>41.7</v>
      </c>
      <c r="BZ115" s="115">
        <v>47.945</v>
      </c>
      <c r="CA115" s="119">
        <v>-3216.6708800000001</v>
      </c>
      <c r="CB115" s="115">
        <v>1.1497601918465228</v>
      </c>
      <c r="CC115" s="115">
        <v>500</v>
      </c>
      <c r="CD115" s="115">
        <v>50</v>
      </c>
      <c r="CE115" s="119">
        <v>20850</v>
      </c>
    </row>
    <row r="116" spans="1:83" hidden="1">
      <c r="A116" s="13">
        <f t="shared" si="244"/>
        <v>109</v>
      </c>
      <c r="B116" s="123">
        <v>44643</v>
      </c>
      <c r="C116" s="116" t="s">
        <v>6</v>
      </c>
      <c r="D116" s="116">
        <v>0</v>
      </c>
      <c r="E116" s="115" t="s">
        <v>632</v>
      </c>
      <c r="F116" s="116" t="s">
        <v>502</v>
      </c>
      <c r="G116" s="115"/>
      <c r="H116" s="117">
        <v>44651</v>
      </c>
      <c r="I116" s="115">
        <v>150</v>
      </c>
      <c r="J116" s="115">
        <v>17440</v>
      </c>
      <c r="K116" s="115">
        <v>17469.669999999998</v>
      </c>
      <c r="L116" s="119">
        <f t="shared" ca="1" si="212"/>
        <v>0</v>
      </c>
      <c r="M116" s="119">
        <f t="shared" si="213"/>
        <v>0</v>
      </c>
      <c r="N116" s="115">
        <f t="shared" si="311"/>
        <v>1.0017012614678897</v>
      </c>
      <c r="O116" s="156">
        <f t="shared" si="312"/>
        <v>13080</v>
      </c>
      <c r="P116" s="160">
        <f t="shared" si="245"/>
        <v>0</v>
      </c>
      <c r="Q116" s="160" t="e">
        <f t="shared" si="313"/>
        <v>#N/A</v>
      </c>
      <c r="R116" s="153" t="e">
        <f t="shared" ca="1" si="214"/>
        <v>#VALUE!</v>
      </c>
      <c r="S116" s="119">
        <f t="shared" si="314"/>
        <v>1743.9999999999995</v>
      </c>
      <c r="T116" s="115" t="str">
        <f>VLOOKUP(TRIM($F116),Reference!B:C,2,0)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16" s="170">
        <f t="shared" ca="1" si="315"/>
        <v>0</v>
      </c>
      <c r="V116" s="120" t="str">
        <f t="shared" si="204"/>
        <v>NIFTY22MARFUT</v>
      </c>
      <c r="W116" s="158" t="e">
        <f>VLOOKUP($V116,Reference!BA:BD,4,0)</f>
        <v>#N/A</v>
      </c>
      <c r="X116" s="160">
        <f t="shared" ca="1" si="205"/>
        <v>0</v>
      </c>
      <c r="Y116" s="160">
        <f t="shared" ca="1" si="206"/>
        <v>0</v>
      </c>
      <c r="Z116" s="160">
        <f t="shared" ca="1" si="215"/>
        <v>0</v>
      </c>
      <c r="AA116" s="160">
        <f t="shared" ca="1" si="207"/>
        <v>0</v>
      </c>
      <c r="AB116" s="160">
        <f t="shared" ca="1" si="208"/>
        <v>0</v>
      </c>
      <c r="AC116" s="119">
        <f t="shared" ca="1" si="209"/>
        <v>0</v>
      </c>
      <c r="AD116" s="115">
        <f t="shared" ca="1" si="316"/>
        <v>-1.4602739726027398</v>
      </c>
      <c r="AE116" s="115">
        <f t="shared" si="317"/>
        <v>20</v>
      </c>
      <c r="AF116" s="115"/>
      <c r="AG116" s="115"/>
      <c r="AH116" s="115">
        <f t="shared" si="246"/>
        <v>0</v>
      </c>
      <c r="AI116" s="115"/>
      <c r="AJ116" s="115">
        <f t="shared" si="247"/>
        <v>0</v>
      </c>
      <c r="AK116" s="115"/>
      <c r="AL116" s="142"/>
      <c r="AM116" s="153"/>
      <c r="AN116" s="153"/>
      <c r="AO116" s="153"/>
      <c r="AP116" s="153"/>
      <c r="AQ116" s="153"/>
      <c r="AR116" s="153"/>
      <c r="AS116" s="153"/>
      <c r="AT116" s="153"/>
      <c r="AU116" s="153"/>
      <c r="AV116" s="153"/>
      <c r="AW116" s="153"/>
      <c r="AX116" s="153"/>
      <c r="AY116" s="153"/>
      <c r="AZ116" s="153"/>
      <c r="BA116" s="153"/>
      <c r="BB116" s="153"/>
      <c r="BC116" s="153"/>
      <c r="BD116" s="153"/>
      <c r="BE116" s="153"/>
      <c r="BF116" s="153"/>
      <c r="BG116" s="153"/>
      <c r="BS116" s="13">
        <v>2</v>
      </c>
      <c r="BT116" s="123">
        <v>44491</v>
      </c>
      <c r="BU116" s="116" t="s">
        <v>8</v>
      </c>
      <c r="BV116" s="115" t="s">
        <v>482</v>
      </c>
      <c r="BW116" s="116" t="s">
        <v>502</v>
      </c>
      <c r="BX116" s="115">
        <v>18400</v>
      </c>
      <c r="BY116" s="115">
        <v>41.7</v>
      </c>
      <c r="BZ116" s="115">
        <v>47.945</v>
      </c>
      <c r="CA116" s="119">
        <v>-3216.6708800000001</v>
      </c>
      <c r="CB116" s="115">
        <v>1.1497601918465228</v>
      </c>
      <c r="CC116" s="115">
        <v>500</v>
      </c>
      <c r="CD116" s="115">
        <v>50</v>
      </c>
      <c r="CE116" s="119">
        <v>20850</v>
      </c>
    </row>
    <row r="117" spans="1:83" hidden="1">
      <c r="A117" s="13">
        <f t="shared" si="244"/>
        <v>110</v>
      </c>
      <c r="B117" s="123">
        <v>44651</v>
      </c>
      <c r="C117" s="116" t="s">
        <v>6</v>
      </c>
      <c r="D117" s="116">
        <v>1</v>
      </c>
      <c r="E117" s="115" t="s">
        <v>632</v>
      </c>
      <c r="F117" s="116" t="s">
        <v>506</v>
      </c>
      <c r="G117" s="115"/>
      <c r="H117" s="117">
        <v>44679</v>
      </c>
      <c r="I117" s="115">
        <v>25</v>
      </c>
      <c r="J117" s="115">
        <v>36505</v>
      </c>
      <c r="K117" s="115">
        <v>37166.199999999997</v>
      </c>
      <c r="L117" s="119">
        <f t="shared" ca="1" si="212"/>
        <v>0</v>
      </c>
      <c r="M117" s="119">
        <f t="shared" si="213"/>
        <v>16529.999999999927</v>
      </c>
      <c r="N117" s="115">
        <f t="shared" ref="N117:N120" si="318">K117/$J117</f>
        <v>1.0181125873168058</v>
      </c>
      <c r="O117" s="156">
        <f t="shared" ref="O117:O120" si="319">J117*(1+$O$6*IF(C117="B",-1,1))</f>
        <v>27378.75</v>
      </c>
      <c r="P117" s="160">
        <f t="shared" si="245"/>
        <v>912625</v>
      </c>
      <c r="Q117" s="160" t="e">
        <f t="shared" ref="Q117:Q120" si="320">(W117-J117)*I117*IF(C117="B",1,-1)*IF(K117=0,1,0)</f>
        <v>#N/A</v>
      </c>
      <c r="R117" s="153" t="e">
        <f t="shared" ca="1" si="214"/>
        <v>#VALUE!</v>
      </c>
      <c r="S117" s="119">
        <f t="shared" ref="S117:S120" si="321">(1-$S$6)*J117</f>
        <v>3650.4999999999991</v>
      </c>
      <c r="T117" s="115" t="str">
        <f>VLOOKUP(TRIM($F117),Reference!B:C,2,0)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17" s="170">
        <f t="shared" ref="U117:U120" ca="1" si="322">AC117</f>
        <v>0</v>
      </c>
      <c r="V117" s="120" t="str">
        <f t="shared" si="204"/>
        <v>BANKNIFTY22APRFUT</v>
      </c>
      <c r="W117" s="158" t="e">
        <f>VLOOKUP($V117,Reference!BA:BD,4,0)</f>
        <v>#N/A</v>
      </c>
      <c r="X117" s="160">
        <f t="shared" ca="1" si="205"/>
        <v>0</v>
      </c>
      <c r="Y117" s="160">
        <f t="shared" ca="1" si="206"/>
        <v>0</v>
      </c>
      <c r="Z117" s="160">
        <f t="shared" ca="1" si="215"/>
        <v>0</v>
      </c>
      <c r="AA117" s="160">
        <f t="shared" ca="1" si="207"/>
        <v>0</v>
      </c>
      <c r="AB117" s="160">
        <f t="shared" ca="1" si="208"/>
        <v>0</v>
      </c>
      <c r="AC117" s="119">
        <f t="shared" ca="1" si="209"/>
        <v>0</v>
      </c>
      <c r="AD117" s="115">
        <f t="shared" ref="AD117:AD120" ca="1" si="323">(H117-TODAY())/365</f>
        <v>-1.3835616438356164</v>
      </c>
      <c r="AE117" s="115">
        <f t="shared" ref="AE117:AE120" si="324">IF(I117&lt;&gt;0,20,0)</f>
        <v>20</v>
      </c>
      <c r="AF117" s="115"/>
      <c r="AG117" s="115"/>
      <c r="AH117" s="115">
        <f t="shared" si="246"/>
        <v>0</v>
      </c>
      <c r="AI117" s="115"/>
      <c r="AJ117" s="115">
        <f t="shared" si="247"/>
        <v>27.37875</v>
      </c>
      <c r="AK117" s="115"/>
      <c r="AL117" s="142"/>
      <c r="AM117" s="153"/>
      <c r="AN117" s="153"/>
      <c r="AO117" s="153"/>
      <c r="AP117" s="153"/>
      <c r="AQ117" s="153"/>
      <c r="AR117" s="153"/>
      <c r="AS117" s="153"/>
      <c r="AT117" s="153"/>
      <c r="AU117" s="153"/>
      <c r="AV117" s="153"/>
      <c r="AW117" s="153"/>
      <c r="AX117" s="153"/>
      <c r="AY117" s="153"/>
      <c r="AZ117" s="153"/>
      <c r="BA117" s="153"/>
      <c r="BB117" s="153"/>
      <c r="BC117" s="153"/>
      <c r="BD117" s="153"/>
      <c r="BE117" s="153"/>
      <c r="BF117" s="153"/>
      <c r="BG117" s="153"/>
      <c r="BS117" s="13">
        <v>2</v>
      </c>
      <c r="BT117" s="123">
        <v>44491</v>
      </c>
      <c r="BU117" s="116" t="s">
        <v>8</v>
      </c>
      <c r="BV117" s="115" t="s">
        <v>482</v>
      </c>
      <c r="BW117" s="116" t="s">
        <v>502</v>
      </c>
      <c r="BX117" s="115">
        <v>18400</v>
      </c>
      <c r="BY117" s="115">
        <v>41.7</v>
      </c>
      <c r="BZ117" s="115">
        <v>47.945</v>
      </c>
      <c r="CA117" s="119">
        <v>-3216.6708800000001</v>
      </c>
      <c r="CB117" s="115">
        <v>1.1497601918465228</v>
      </c>
      <c r="CC117" s="115">
        <v>500</v>
      </c>
      <c r="CD117" s="115">
        <v>50</v>
      </c>
      <c r="CE117" s="119">
        <v>20850</v>
      </c>
    </row>
    <row r="118" spans="1:83" hidden="1">
      <c r="A118" s="13">
        <f t="shared" si="244"/>
        <v>111</v>
      </c>
      <c r="B118" s="123">
        <v>44651</v>
      </c>
      <c r="C118" s="116" t="s">
        <v>6</v>
      </c>
      <c r="D118" s="116">
        <v>1</v>
      </c>
      <c r="E118" s="115" t="s">
        <v>632</v>
      </c>
      <c r="F118" s="116" t="s">
        <v>502</v>
      </c>
      <c r="G118" s="115"/>
      <c r="H118" s="117">
        <v>44679</v>
      </c>
      <c r="I118" s="115">
        <v>50</v>
      </c>
      <c r="J118" s="115">
        <v>17524.8</v>
      </c>
      <c r="K118" s="115">
        <v>16914.349999999999</v>
      </c>
      <c r="L118" s="119">
        <f t="shared" ca="1" si="212"/>
        <v>0</v>
      </c>
      <c r="M118" s="119">
        <f t="shared" si="213"/>
        <v>-30522.500000000036</v>
      </c>
      <c r="N118" s="115">
        <f t="shared" si="318"/>
        <v>0.96516650689308858</v>
      </c>
      <c r="O118" s="156">
        <f t="shared" si="319"/>
        <v>13143.599999999999</v>
      </c>
      <c r="P118" s="160">
        <f t="shared" si="245"/>
        <v>876240</v>
      </c>
      <c r="Q118" s="160" t="e">
        <f t="shared" si="320"/>
        <v>#N/A</v>
      </c>
      <c r="R118" s="153" t="e">
        <f t="shared" ca="1" si="214"/>
        <v>#VALUE!</v>
      </c>
      <c r="S118" s="119">
        <f t="shared" si="321"/>
        <v>1752.4799999999996</v>
      </c>
      <c r="T118" s="115" t="str">
        <f>VLOOKUP(TRIM($F118),Reference!B:C,2,0)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18" s="170">
        <f t="shared" ca="1" si="322"/>
        <v>0</v>
      </c>
      <c r="V118" s="120" t="str">
        <f t="shared" si="204"/>
        <v>NIFTY22APRFUT</v>
      </c>
      <c r="W118" s="158" t="e">
        <f>VLOOKUP($V118,Reference!BA:BD,4,0)</f>
        <v>#N/A</v>
      </c>
      <c r="X118" s="160">
        <f t="shared" ca="1" si="205"/>
        <v>0</v>
      </c>
      <c r="Y118" s="160">
        <f t="shared" ca="1" si="206"/>
        <v>0</v>
      </c>
      <c r="Z118" s="160">
        <f t="shared" ca="1" si="215"/>
        <v>0</v>
      </c>
      <c r="AA118" s="160">
        <f t="shared" ca="1" si="207"/>
        <v>0</v>
      </c>
      <c r="AB118" s="160">
        <f t="shared" ca="1" si="208"/>
        <v>0</v>
      </c>
      <c r="AC118" s="119">
        <f t="shared" ca="1" si="209"/>
        <v>0</v>
      </c>
      <c r="AD118" s="115">
        <f t="shared" ca="1" si="323"/>
        <v>-1.3835616438356164</v>
      </c>
      <c r="AE118" s="115">
        <f t="shared" si="324"/>
        <v>20</v>
      </c>
      <c r="AF118" s="115"/>
      <c r="AG118" s="115"/>
      <c r="AH118" s="115">
        <f t="shared" si="246"/>
        <v>0</v>
      </c>
      <c r="AI118" s="115"/>
      <c r="AJ118" s="115">
        <f t="shared" si="247"/>
        <v>26.287200000000002</v>
      </c>
      <c r="AK118" s="115"/>
      <c r="AL118" s="142"/>
      <c r="AM118" s="153"/>
      <c r="AN118" s="153"/>
      <c r="AO118" s="153"/>
      <c r="AP118" s="153"/>
      <c r="AQ118" s="153"/>
      <c r="AR118" s="153"/>
      <c r="AS118" s="153"/>
      <c r="AT118" s="153"/>
      <c r="AU118" s="153"/>
      <c r="AV118" s="153"/>
      <c r="AW118" s="153"/>
      <c r="AX118" s="153"/>
      <c r="AY118" s="153"/>
      <c r="AZ118" s="153"/>
      <c r="BA118" s="153"/>
      <c r="BB118" s="153"/>
      <c r="BC118" s="153"/>
      <c r="BD118" s="153"/>
      <c r="BE118" s="153"/>
      <c r="BF118" s="153"/>
      <c r="BG118" s="153"/>
      <c r="BS118" s="13">
        <v>2</v>
      </c>
      <c r="BT118" s="123">
        <v>44491</v>
      </c>
      <c r="BU118" s="116" t="s">
        <v>8</v>
      </c>
      <c r="BV118" s="115" t="s">
        <v>482</v>
      </c>
      <c r="BW118" s="116" t="s">
        <v>502</v>
      </c>
      <c r="BX118" s="115">
        <v>18400</v>
      </c>
      <c r="BY118" s="115">
        <v>41.7</v>
      </c>
      <c r="BZ118" s="115">
        <v>47.945</v>
      </c>
      <c r="CA118" s="119">
        <v>-3216.6708800000001</v>
      </c>
      <c r="CB118" s="115">
        <v>1.1497601918465228</v>
      </c>
      <c r="CC118" s="115">
        <v>500</v>
      </c>
      <c r="CD118" s="115">
        <v>50</v>
      </c>
      <c r="CE118" s="119">
        <v>20850</v>
      </c>
    </row>
    <row r="119" spans="1:83" hidden="1">
      <c r="A119" s="13">
        <f t="shared" si="244"/>
        <v>112</v>
      </c>
      <c r="B119" s="123">
        <v>44651</v>
      </c>
      <c r="C119" s="116" t="s">
        <v>6</v>
      </c>
      <c r="D119" s="116">
        <v>1</v>
      </c>
      <c r="E119" s="115" t="s">
        <v>632</v>
      </c>
      <c r="F119" s="116" t="s">
        <v>502</v>
      </c>
      <c r="G119" s="115"/>
      <c r="H119" s="117">
        <v>44679</v>
      </c>
      <c r="I119" s="115">
        <v>100</v>
      </c>
      <c r="J119" s="115">
        <v>17545.3</v>
      </c>
      <c r="K119" s="115">
        <v>17140</v>
      </c>
      <c r="L119" s="119">
        <f t="shared" ca="1" si="212"/>
        <v>0</v>
      </c>
      <c r="M119" s="119">
        <f t="shared" si="213"/>
        <v>-40529.999999999927</v>
      </c>
      <c r="N119" s="115">
        <f t="shared" si="318"/>
        <v>0.97689979652670522</v>
      </c>
      <c r="O119" s="156">
        <f t="shared" si="319"/>
        <v>13158.974999999999</v>
      </c>
      <c r="P119" s="160">
        <f t="shared" si="245"/>
        <v>1754530</v>
      </c>
      <c r="Q119" s="160" t="e">
        <f t="shared" si="320"/>
        <v>#N/A</v>
      </c>
      <c r="R119" s="153" t="e">
        <f t="shared" ca="1" si="214"/>
        <v>#VALUE!</v>
      </c>
      <c r="S119" s="119">
        <f t="shared" si="321"/>
        <v>1754.5299999999995</v>
      </c>
      <c r="T119" s="115" t="str">
        <f>VLOOKUP(TRIM($F119),Reference!B:C,2,0)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19" s="170">
        <f t="shared" ca="1" si="322"/>
        <v>0</v>
      </c>
      <c r="V119" s="120" t="str">
        <f t="shared" si="204"/>
        <v>NIFTY22APRFUT</v>
      </c>
      <c r="W119" s="158" t="e">
        <f>VLOOKUP($V119,Reference!BA:BD,4,0)</f>
        <v>#N/A</v>
      </c>
      <c r="X119" s="160">
        <f t="shared" ca="1" si="205"/>
        <v>0</v>
      </c>
      <c r="Y119" s="160">
        <f t="shared" ca="1" si="206"/>
        <v>0</v>
      </c>
      <c r="Z119" s="160">
        <f t="shared" ca="1" si="215"/>
        <v>0</v>
      </c>
      <c r="AA119" s="160">
        <f t="shared" ca="1" si="207"/>
        <v>0</v>
      </c>
      <c r="AB119" s="160">
        <f t="shared" ca="1" si="208"/>
        <v>0</v>
      </c>
      <c r="AC119" s="119">
        <f t="shared" ca="1" si="209"/>
        <v>0</v>
      </c>
      <c r="AD119" s="115">
        <f t="shared" ca="1" si="323"/>
        <v>-1.3835616438356164</v>
      </c>
      <c r="AE119" s="115">
        <f t="shared" si="324"/>
        <v>20</v>
      </c>
      <c r="AF119" s="115"/>
      <c r="AG119" s="115"/>
      <c r="AH119" s="115">
        <f t="shared" si="246"/>
        <v>0</v>
      </c>
      <c r="AI119" s="115"/>
      <c r="AJ119" s="115">
        <f t="shared" si="247"/>
        <v>52.635899999999999</v>
      </c>
      <c r="AK119" s="115"/>
      <c r="AL119" s="142"/>
      <c r="AM119" s="153"/>
      <c r="AN119" s="153"/>
      <c r="AO119" s="153"/>
      <c r="AP119" s="153"/>
      <c r="AQ119" s="153"/>
      <c r="AR119" s="153"/>
      <c r="AS119" s="153"/>
      <c r="AT119" s="153"/>
      <c r="AU119" s="153"/>
      <c r="AV119" s="153"/>
      <c r="AW119" s="153"/>
      <c r="AX119" s="153"/>
      <c r="AY119" s="153"/>
      <c r="AZ119" s="153"/>
      <c r="BA119" s="153"/>
      <c r="BB119" s="153"/>
      <c r="BC119" s="153"/>
      <c r="BD119" s="153"/>
      <c r="BE119" s="153"/>
      <c r="BF119" s="153"/>
      <c r="BG119" s="153"/>
      <c r="BS119" s="13">
        <v>2</v>
      </c>
      <c r="BT119" s="123">
        <v>44491</v>
      </c>
      <c r="BU119" s="116" t="s">
        <v>8</v>
      </c>
      <c r="BV119" s="115" t="s">
        <v>482</v>
      </c>
      <c r="BW119" s="116" t="s">
        <v>502</v>
      </c>
      <c r="BX119" s="115">
        <v>18400</v>
      </c>
      <c r="BY119" s="115">
        <v>41.7</v>
      </c>
      <c r="BZ119" s="115">
        <v>47.945</v>
      </c>
      <c r="CA119" s="119">
        <v>-3216.6708800000001</v>
      </c>
      <c r="CB119" s="115">
        <v>1.1497601918465228</v>
      </c>
      <c r="CC119" s="115">
        <v>500</v>
      </c>
      <c r="CD119" s="115">
        <v>50</v>
      </c>
      <c r="CE119" s="119">
        <v>20850</v>
      </c>
    </row>
    <row r="120" spans="1:83" hidden="1">
      <c r="A120" s="13">
        <f t="shared" si="244"/>
        <v>113</v>
      </c>
      <c r="B120" s="123">
        <v>44651</v>
      </c>
      <c r="C120" s="116" t="s">
        <v>8</v>
      </c>
      <c r="D120" s="116">
        <v>1</v>
      </c>
      <c r="E120" s="115" t="s">
        <v>481</v>
      </c>
      <c r="F120" s="116" t="s">
        <v>130</v>
      </c>
      <c r="G120" s="115">
        <v>280</v>
      </c>
      <c r="H120" s="117">
        <v>44679</v>
      </c>
      <c r="I120" s="115">
        <v>6750</v>
      </c>
      <c r="J120" s="115">
        <v>2.0499999999999998</v>
      </c>
      <c r="K120" s="115">
        <v>12.25</v>
      </c>
      <c r="L120" s="119">
        <f t="shared" ca="1" si="212"/>
        <v>0</v>
      </c>
      <c r="M120" s="119">
        <f t="shared" si="213"/>
        <v>-68850</v>
      </c>
      <c r="N120" s="115">
        <f t="shared" si="318"/>
        <v>5.9756097560975618</v>
      </c>
      <c r="O120" s="156">
        <f t="shared" si="319"/>
        <v>2.5625</v>
      </c>
      <c r="P120" s="160">
        <f t="shared" si="245"/>
        <v>13837.499999999998</v>
      </c>
      <c r="Q120" s="160" t="e">
        <f t="shared" si="320"/>
        <v>#N/A</v>
      </c>
      <c r="R120" s="153" t="e">
        <f t="shared" ca="1" si="214"/>
        <v>#VALUE!</v>
      </c>
      <c r="S120" s="119">
        <f t="shared" si="321"/>
        <v>0.20499999999999993</v>
      </c>
      <c r="T120" s="115" t="e">
        <f>VLOOKUP(TRIM($F120),Reference!B:C,2,0)</f>
        <v>#VALUE!</v>
      </c>
      <c r="U120" s="170">
        <f t="shared" ca="1" si="322"/>
        <v>0</v>
      </c>
      <c r="V120" s="120" t="str">
        <f t="shared" si="204"/>
        <v>TATAPOWER22APR280CE</v>
      </c>
      <c r="W120" s="158" t="e">
        <f>VLOOKUP($V120,Reference!BA:BD,4,0)</f>
        <v>#N/A</v>
      </c>
      <c r="X120" s="160">
        <f t="shared" ca="1" si="205"/>
        <v>0</v>
      </c>
      <c r="Y120" s="160">
        <f t="shared" ca="1" si="206"/>
        <v>0</v>
      </c>
      <c r="Z120" s="160">
        <f t="shared" ca="1" si="215"/>
        <v>0</v>
      </c>
      <c r="AA120" s="160">
        <f t="shared" ca="1" si="207"/>
        <v>0</v>
      </c>
      <c r="AB120" s="160">
        <f t="shared" ca="1" si="208"/>
        <v>0</v>
      </c>
      <c r="AC120" s="119">
        <f t="shared" ca="1" si="209"/>
        <v>0</v>
      </c>
      <c r="AD120" s="115">
        <f t="shared" ca="1" si="323"/>
        <v>-1.3835616438356164</v>
      </c>
      <c r="AE120" s="115">
        <f t="shared" si="324"/>
        <v>20</v>
      </c>
      <c r="AF120" s="115"/>
      <c r="AG120" s="115"/>
      <c r="AH120" s="115">
        <f t="shared" si="246"/>
        <v>6.9187499999999993</v>
      </c>
      <c r="AI120" s="115"/>
      <c r="AJ120" s="115">
        <f t="shared" si="247"/>
        <v>0</v>
      </c>
      <c r="AK120" s="115"/>
      <c r="AL120" s="142"/>
      <c r="AM120" s="153"/>
      <c r="AN120" s="153"/>
      <c r="AO120" s="153"/>
      <c r="AP120" s="153"/>
      <c r="AQ120" s="153"/>
      <c r="AR120" s="153"/>
      <c r="AS120" s="153"/>
      <c r="AT120" s="153"/>
      <c r="AU120" s="153"/>
      <c r="AV120" s="153"/>
      <c r="AW120" s="153"/>
      <c r="AX120" s="153"/>
      <c r="AY120" s="153"/>
      <c r="AZ120" s="153"/>
      <c r="BA120" s="153"/>
      <c r="BB120" s="153"/>
      <c r="BC120" s="153"/>
      <c r="BD120" s="153"/>
      <c r="BE120" s="153"/>
      <c r="BF120" s="153"/>
      <c r="BG120" s="153"/>
      <c r="BS120" s="13">
        <v>2</v>
      </c>
      <c r="BT120" s="123">
        <v>44491</v>
      </c>
      <c r="BU120" s="116" t="s">
        <v>8</v>
      </c>
      <c r="BV120" s="115" t="s">
        <v>482</v>
      </c>
      <c r="BW120" s="116" t="s">
        <v>502</v>
      </c>
      <c r="BX120" s="115">
        <v>18400</v>
      </c>
      <c r="BY120" s="115">
        <v>41.7</v>
      </c>
      <c r="BZ120" s="115">
        <v>47.945</v>
      </c>
      <c r="CA120" s="119">
        <v>-3216.6708800000001</v>
      </c>
      <c r="CB120" s="115">
        <v>1.1497601918465228</v>
      </c>
      <c r="CC120" s="115">
        <v>500</v>
      </c>
      <c r="CD120" s="115">
        <v>50</v>
      </c>
      <c r="CE120" s="119">
        <v>20850</v>
      </c>
    </row>
    <row r="121" spans="1:83" hidden="1">
      <c r="A121" s="13">
        <f t="shared" si="244"/>
        <v>114</v>
      </c>
      <c r="B121" s="123">
        <v>44652</v>
      </c>
      <c r="C121" s="116" t="s">
        <v>8</v>
      </c>
      <c r="D121" s="116">
        <v>1</v>
      </c>
      <c r="E121" s="115" t="s">
        <v>481</v>
      </c>
      <c r="F121" s="116" t="s">
        <v>130</v>
      </c>
      <c r="G121" s="115">
        <v>280</v>
      </c>
      <c r="H121" s="117">
        <v>44679</v>
      </c>
      <c r="I121" s="115">
        <v>6750</v>
      </c>
      <c r="J121" s="115">
        <v>2.15</v>
      </c>
      <c r="K121" s="115">
        <v>12.25</v>
      </c>
      <c r="L121" s="119">
        <f t="shared" ca="1" si="212"/>
        <v>0</v>
      </c>
      <c r="M121" s="119">
        <f t="shared" si="213"/>
        <v>-68175</v>
      </c>
      <c r="N121" s="115">
        <f t="shared" ref="N121" si="325">K121/$J121</f>
        <v>5.6976744186046515</v>
      </c>
      <c r="O121" s="156">
        <f t="shared" ref="O121" si="326">J121*(1+$O$6*IF(C121="B",-1,1))</f>
        <v>2.6875</v>
      </c>
      <c r="P121" s="160">
        <f t="shared" si="245"/>
        <v>14512.5</v>
      </c>
      <c r="Q121" s="160" t="e">
        <f t="shared" ref="Q121" si="327">(W121-J121)*I121*IF(C121="B",1,-1)*IF(K121=0,1,0)</f>
        <v>#N/A</v>
      </c>
      <c r="R121" s="153" t="e">
        <f t="shared" ca="1" si="214"/>
        <v>#VALUE!</v>
      </c>
      <c r="S121" s="119">
        <f t="shared" ref="S121" si="328">(1-$S$6)*J121</f>
        <v>0.21499999999999994</v>
      </c>
      <c r="T121" s="115" t="e">
        <f>VLOOKUP(TRIM($F121),Reference!B:C,2,0)</f>
        <v>#VALUE!</v>
      </c>
      <c r="U121" s="170">
        <f t="shared" ref="U121" ca="1" si="329">AC121</f>
        <v>0</v>
      </c>
      <c r="V121" s="120" t="str">
        <f t="shared" si="204"/>
        <v>TATAPOWER22APR280CE</v>
      </c>
      <c r="W121" s="158" t="e">
        <f>VLOOKUP($V121,Reference!BA:BD,4,0)</f>
        <v>#N/A</v>
      </c>
      <c r="X121" s="160">
        <f t="shared" ca="1" si="205"/>
        <v>0</v>
      </c>
      <c r="Y121" s="160">
        <f t="shared" ca="1" si="206"/>
        <v>0</v>
      </c>
      <c r="Z121" s="160">
        <f t="shared" ca="1" si="215"/>
        <v>0</v>
      </c>
      <c r="AA121" s="160">
        <f t="shared" ca="1" si="207"/>
        <v>0</v>
      </c>
      <c r="AB121" s="160">
        <f t="shared" ca="1" si="208"/>
        <v>0</v>
      </c>
      <c r="AC121" s="119">
        <f t="shared" ca="1" si="209"/>
        <v>0</v>
      </c>
      <c r="AD121" s="115">
        <f t="shared" ref="AD121" ca="1" si="330">(H121-TODAY())/365</f>
        <v>-1.3835616438356164</v>
      </c>
      <c r="AE121" s="115">
        <f t="shared" ref="AE121" si="331">IF(I121&lt;&gt;0,20,0)</f>
        <v>20</v>
      </c>
      <c r="AF121" s="115"/>
      <c r="AG121" s="115"/>
      <c r="AH121" s="115">
        <f t="shared" si="246"/>
        <v>7.2562500000000005</v>
      </c>
      <c r="AI121" s="115"/>
      <c r="AJ121" s="115">
        <f t="shared" si="247"/>
        <v>0</v>
      </c>
      <c r="AK121" s="115"/>
      <c r="AL121" s="142"/>
      <c r="AM121" s="153"/>
      <c r="AN121" s="153"/>
      <c r="AO121" s="153"/>
      <c r="AP121" s="153"/>
      <c r="AQ121" s="153"/>
      <c r="AR121" s="153"/>
      <c r="AS121" s="153"/>
      <c r="AT121" s="153"/>
      <c r="AU121" s="153"/>
      <c r="AV121" s="153"/>
      <c r="AW121" s="153"/>
      <c r="AX121" s="153"/>
      <c r="AY121" s="153"/>
      <c r="AZ121" s="153"/>
      <c r="BA121" s="153"/>
      <c r="BB121" s="153"/>
      <c r="BC121" s="153"/>
      <c r="BD121" s="153"/>
      <c r="BE121" s="153"/>
      <c r="BF121" s="153"/>
      <c r="BG121" s="153"/>
      <c r="BS121" s="13">
        <v>2</v>
      </c>
      <c r="BT121" s="123">
        <v>44491</v>
      </c>
      <c r="BU121" s="116" t="s">
        <v>8</v>
      </c>
      <c r="BV121" s="115" t="s">
        <v>482</v>
      </c>
      <c r="BW121" s="116" t="s">
        <v>502</v>
      </c>
      <c r="BX121" s="115">
        <v>18400</v>
      </c>
      <c r="BY121" s="115">
        <v>41.7</v>
      </c>
      <c r="BZ121" s="115">
        <v>47.945</v>
      </c>
      <c r="CA121" s="119">
        <v>-3216.6708800000001</v>
      </c>
      <c r="CB121" s="115">
        <v>1.1497601918465228</v>
      </c>
      <c r="CC121" s="115">
        <v>500</v>
      </c>
      <c r="CD121" s="115">
        <v>50</v>
      </c>
      <c r="CE121" s="119">
        <v>20850</v>
      </c>
    </row>
    <row r="122" spans="1:83" hidden="1">
      <c r="A122" s="13">
        <f t="shared" si="244"/>
        <v>115</v>
      </c>
      <c r="B122" s="123">
        <v>44652</v>
      </c>
      <c r="C122" s="116" t="s">
        <v>8</v>
      </c>
      <c r="D122" s="116">
        <v>1</v>
      </c>
      <c r="E122" s="115" t="s">
        <v>481</v>
      </c>
      <c r="F122" s="116" t="s">
        <v>284</v>
      </c>
      <c r="G122" s="115">
        <v>500</v>
      </c>
      <c r="H122" s="117">
        <v>44679</v>
      </c>
      <c r="I122" s="115">
        <v>2850</v>
      </c>
      <c r="J122" s="115">
        <v>4</v>
      </c>
      <c r="K122" s="115">
        <v>1.05</v>
      </c>
      <c r="L122" s="119">
        <f t="shared" ca="1" si="212"/>
        <v>0</v>
      </c>
      <c r="M122" s="119">
        <f t="shared" si="213"/>
        <v>8407.5</v>
      </c>
      <c r="N122" s="115">
        <f t="shared" ref="N122:N123" si="332">K122/$J122</f>
        <v>0.26250000000000001</v>
      </c>
      <c r="O122" s="156">
        <f t="shared" ref="O122:O123" si="333">J122*(1+$O$6*IF(C122="B",-1,1))</f>
        <v>5</v>
      </c>
      <c r="P122" s="160">
        <f t="shared" si="245"/>
        <v>11400</v>
      </c>
      <c r="Q122" s="160" t="e">
        <f t="shared" ref="Q122:Q123" si="334">(W122-J122)*I122*IF(C122="B",1,-1)*IF(K122=0,1,0)</f>
        <v>#N/A</v>
      </c>
      <c r="R122" s="153" t="e">
        <f t="shared" ca="1" si="214"/>
        <v>#VALUE!</v>
      </c>
      <c r="S122" s="119">
        <f t="shared" ref="S122:S123" si="335">(1-$S$6)*J122</f>
        <v>0.39999999999999991</v>
      </c>
      <c r="T122" s="115" t="e">
        <f>VLOOKUP(TRIM($F122),Reference!B:C,2,0)</f>
        <v>#VALUE!</v>
      </c>
      <c r="U122" s="170">
        <f t="shared" ref="U122:U123" ca="1" si="336">AC122</f>
        <v>0</v>
      </c>
      <c r="V122" s="120" t="str">
        <f t="shared" si="204"/>
        <v>TATAMOTORS22APR500CE</v>
      </c>
      <c r="W122" s="158" t="e">
        <f>VLOOKUP($V122,Reference!BA:BD,4,0)</f>
        <v>#N/A</v>
      </c>
      <c r="X122" s="160">
        <f t="shared" ca="1" si="205"/>
        <v>0</v>
      </c>
      <c r="Y122" s="160">
        <f t="shared" ca="1" si="206"/>
        <v>0</v>
      </c>
      <c r="Z122" s="160">
        <f t="shared" ca="1" si="215"/>
        <v>0</v>
      </c>
      <c r="AA122" s="160">
        <f t="shared" ca="1" si="207"/>
        <v>0</v>
      </c>
      <c r="AB122" s="160">
        <f t="shared" ca="1" si="208"/>
        <v>0</v>
      </c>
      <c r="AC122" s="119">
        <f t="shared" ca="1" si="209"/>
        <v>0</v>
      </c>
      <c r="AD122" s="115">
        <f t="shared" ref="AD122:AD123" ca="1" si="337">(H122-TODAY())/365</f>
        <v>-1.3835616438356164</v>
      </c>
      <c r="AE122" s="115">
        <f t="shared" ref="AE122:AE123" si="338">IF(I122&lt;&gt;0,20,0)</f>
        <v>20</v>
      </c>
      <c r="AF122" s="115"/>
      <c r="AG122" s="115"/>
      <c r="AH122" s="115">
        <f t="shared" si="246"/>
        <v>5.7</v>
      </c>
      <c r="AI122" s="115"/>
      <c r="AJ122" s="115">
        <f t="shared" si="247"/>
        <v>0</v>
      </c>
      <c r="AK122" s="115"/>
      <c r="AL122" s="142"/>
      <c r="AM122" s="153"/>
      <c r="AN122" s="153"/>
      <c r="AO122" s="153"/>
      <c r="AP122" s="153"/>
      <c r="AQ122" s="153"/>
      <c r="AR122" s="153"/>
      <c r="AS122" s="153"/>
      <c r="AT122" s="153"/>
      <c r="AU122" s="153"/>
      <c r="AV122" s="153"/>
      <c r="AW122" s="153"/>
      <c r="AX122" s="153"/>
      <c r="AY122" s="153"/>
      <c r="AZ122" s="153"/>
      <c r="BA122" s="153"/>
      <c r="BB122" s="153"/>
      <c r="BC122" s="153"/>
      <c r="BD122" s="153"/>
      <c r="BE122" s="153"/>
      <c r="BF122" s="153"/>
      <c r="BG122" s="153"/>
      <c r="BS122" s="13">
        <v>2</v>
      </c>
      <c r="BT122" s="123">
        <v>44491</v>
      </c>
      <c r="BU122" s="116" t="s">
        <v>8</v>
      </c>
      <c r="BV122" s="115" t="s">
        <v>482</v>
      </c>
      <c r="BW122" s="116" t="s">
        <v>502</v>
      </c>
      <c r="BX122" s="115">
        <v>18400</v>
      </c>
      <c r="BY122" s="115">
        <v>41.7</v>
      </c>
      <c r="BZ122" s="115">
        <v>47.945</v>
      </c>
      <c r="CA122" s="119">
        <v>-3216.6708800000001</v>
      </c>
      <c r="CB122" s="115">
        <v>1.1497601918465228</v>
      </c>
      <c r="CC122" s="115">
        <v>500</v>
      </c>
      <c r="CD122" s="115">
        <v>50</v>
      </c>
      <c r="CE122" s="119">
        <v>20850</v>
      </c>
    </row>
    <row r="123" spans="1:83" hidden="1">
      <c r="A123" s="13">
        <f t="shared" si="244"/>
        <v>116</v>
      </c>
      <c r="B123" s="123">
        <v>44652</v>
      </c>
      <c r="C123" s="116" t="s">
        <v>8</v>
      </c>
      <c r="D123" s="116">
        <v>1</v>
      </c>
      <c r="E123" s="115" t="s">
        <v>481</v>
      </c>
      <c r="F123" s="116" t="s">
        <v>130</v>
      </c>
      <c r="G123" s="115">
        <v>270</v>
      </c>
      <c r="H123" s="117">
        <v>44679</v>
      </c>
      <c r="I123" s="115">
        <v>6750</v>
      </c>
      <c r="J123" s="115">
        <v>3.2</v>
      </c>
      <c r="K123" s="115">
        <v>28.85</v>
      </c>
      <c r="L123" s="119">
        <f t="shared" ca="1" si="212"/>
        <v>0</v>
      </c>
      <c r="M123" s="119">
        <f t="shared" si="213"/>
        <v>-173137.5</v>
      </c>
      <c r="N123" s="115">
        <f t="shared" si="332"/>
        <v>9.015625</v>
      </c>
      <c r="O123" s="156">
        <f t="shared" si="333"/>
        <v>4</v>
      </c>
      <c r="P123" s="160">
        <f t="shared" si="245"/>
        <v>21600</v>
      </c>
      <c r="Q123" s="160" t="e">
        <f t="shared" si="334"/>
        <v>#N/A</v>
      </c>
      <c r="R123" s="153" t="e">
        <f t="shared" ca="1" si="214"/>
        <v>#VALUE!</v>
      </c>
      <c r="S123" s="119">
        <f t="shared" si="335"/>
        <v>0.31999999999999995</v>
      </c>
      <c r="T123" s="115" t="e">
        <f>VLOOKUP(TRIM($F123),Reference!B:C,2,0)</f>
        <v>#VALUE!</v>
      </c>
      <c r="U123" s="170">
        <f t="shared" ca="1" si="336"/>
        <v>0</v>
      </c>
      <c r="V123" s="120" t="str">
        <f t="shared" si="204"/>
        <v>TATAPOWER22APR270CE</v>
      </c>
      <c r="W123" s="158" t="e">
        <f>VLOOKUP($V123,Reference!BA:BD,4,0)</f>
        <v>#N/A</v>
      </c>
      <c r="X123" s="160">
        <f t="shared" ca="1" si="205"/>
        <v>0</v>
      </c>
      <c r="Y123" s="160">
        <f t="shared" ca="1" si="206"/>
        <v>0</v>
      </c>
      <c r="Z123" s="160">
        <f t="shared" ca="1" si="215"/>
        <v>0</v>
      </c>
      <c r="AA123" s="160">
        <f t="shared" ca="1" si="207"/>
        <v>0</v>
      </c>
      <c r="AB123" s="160">
        <f t="shared" ca="1" si="208"/>
        <v>0</v>
      </c>
      <c r="AC123" s="119">
        <f t="shared" ca="1" si="209"/>
        <v>0</v>
      </c>
      <c r="AD123" s="115">
        <f t="shared" ca="1" si="337"/>
        <v>-1.3835616438356164</v>
      </c>
      <c r="AE123" s="115">
        <f t="shared" si="338"/>
        <v>20</v>
      </c>
      <c r="AF123" s="115"/>
      <c r="AG123" s="115"/>
      <c r="AH123" s="115">
        <f t="shared" si="246"/>
        <v>10.8</v>
      </c>
      <c r="AI123" s="115"/>
      <c r="AJ123" s="115">
        <f t="shared" si="247"/>
        <v>0</v>
      </c>
      <c r="AK123" s="115"/>
      <c r="AL123" s="142"/>
      <c r="AM123" s="153"/>
      <c r="AN123" s="153"/>
      <c r="AO123" s="153"/>
      <c r="AP123" s="153"/>
      <c r="AQ123" s="153"/>
      <c r="AR123" s="153"/>
      <c r="AS123" s="153"/>
      <c r="AT123" s="153"/>
      <c r="AU123" s="153"/>
      <c r="AV123" s="153"/>
      <c r="AW123" s="153"/>
      <c r="AX123" s="153"/>
      <c r="AY123" s="153"/>
      <c r="AZ123" s="153"/>
      <c r="BA123" s="153"/>
      <c r="BB123" s="153"/>
      <c r="BC123" s="153"/>
      <c r="BD123" s="153"/>
      <c r="BE123" s="153"/>
      <c r="BF123" s="153"/>
      <c r="BG123" s="153"/>
      <c r="BS123" s="13">
        <v>2</v>
      </c>
      <c r="BT123" s="123">
        <v>44491</v>
      </c>
      <c r="BU123" s="116" t="s">
        <v>8</v>
      </c>
      <c r="BV123" s="115" t="s">
        <v>482</v>
      </c>
      <c r="BW123" s="116" t="s">
        <v>502</v>
      </c>
      <c r="BX123" s="115">
        <v>18400</v>
      </c>
      <c r="BY123" s="115">
        <v>41.7</v>
      </c>
      <c r="BZ123" s="115">
        <v>47.945</v>
      </c>
      <c r="CA123" s="119">
        <v>-3216.6708800000001</v>
      </c>
      <c r="CB123" s="115">
        <v>1.1497601918465228</v>
      </c>
      <c r="CC123" s="115">
        <v>500</v>
      </c>
      <c r="CD123" s="115">
        <v>50</v>
      </c>
      <c r="CE123" s="119">
        <v>20850</v>
      </c>
    </row>
    <row r="124" spans="1:83" hidden="1">
      <c r="A124" s="13">
        <f t="shared" si="244"/>
        <v>117</v>
      </c>
      <c r="B124" s="123">
        <v>44652</v>
      </c>
      <c r="C124" s="116" t="s">
        <v>8</v>
      </c>
      <c r="D124" s="116">
        <v>1</v>
      </c>
      <c r="E124" s="115" t="s">
        <v>481</v>
      </c>
      <c r="F124" s="116" t="s">
        <v>126</v>
      </c>
      <c r="G124" s="115">
        <v>260</v>
      </c>
      <c r="H124" s="117">
        <v>44679</v>
      </c>
      <c r="I124" s="115">
        <v>3750</v>
      </c>
      <c r="J124" s="115">
        <v>2.8</v>
      </c>
      <c r="K124" s="115">
        <v>0.95</v>
      </c>
      <c r="L124" s="119">
        <f t="shared" ca="1" si="212"/>
        <v>0</v>
      </c>
      <c r="M124" s="119">
        <f t="shared" si="213"/>
        <v>6937.4999999999991</v>
      </c>
      <c r="N124" s="115">
        <f t="shared" ref="N124:N125" si="339">K124/$J124</f>
        <v>0.3392857142857143</v>
      </c>
      <c r="O124" s="156">
        <f t="shared" ref="O124:O125" si="340">J124*(1+$O$6*IF(C124="B",-1,1))</f>
        <v>3.5</v>
      </c>
      <c r="P124" s="160">
        <f t="shared" si="245"/>
        <v>10500</v>
      </c>
      <c r="Q124" s="160" t="e">
        <f t="shared" ref="Q124:Q125" si="341">(W124-J124)*I124*IF(C124="B",1,-1)*IF(K124=0,1,0)</f>
        <v>#N/A</v>
      </c>
      <c r="R124" s="153" t="e">
        <f t="shared" ca="1" si="214"/>
        <v>#VALUE!</v>
      </c>
      <c r="S124" s="119">
        <f t="shared" ref="S124:S125" si="342">(1-$S$6)*J124</f>
        <v>0.27999999999999992</v>
      </c>
      <c r="T124" s="115" t="e">
        <f>VLOOKUP(TRIM($F124),Reference!B:C,2,0)</f>
        <v>#VALUE!</v>
      </c>
      <c r="U124" s="170">
        <f t="shared" ref="U124:U125" ca="1" si="343">AC124</f>
        <v>0</v>
      </c>
      <c r="V124" s="120" t="str">
        <f t="shared" si="204"/>
        <v>IEX22APR260CE</v>
      </c>
      <c r="W124" s="158" t="e">
        <f>VLOOKUP($V124,Reference!BA:BD,4,0)</f>
        <v>#N/A</v>
      </c>
      <c r="X124" s="160">
        <f t="shared" ca="1" si="205"/>
        <v>0</v>
      </c>
      <c r="Y124" s="160">
        <f t="shared" ca="1" si="206"/>
        <v>0</v>
      </c>
      <c r="Z124" s="160">
        <f t="shared" ca="1" si="215"/>
        <v>0</v>
      </c>
      <c r="AA124" s="160">
        <f t="shared" ca="1" si="207"/>
        <v>0</v>
      </c>
      <c r="AB124" s="160">
        <f t="shared" ca="1" si="208"/>
        <v>0</v>
      </c>
      <c r="AC124" s="119">
        <f t="shared" ca="1" si="209"/>
        <v>0</v>
      </c>
      <c r="AD124" s="115">
        <f t="shared" ref="AD124:AD125" ca="1" si="344">(H124-TODAY())/365</f>
        <v>-1.3835616438356164</v>
      </c>
      <c r="AE124" s="115">
        <f t="shared" ref="AE124:AE125" si="345">IF(I124&lt;&gt;0,20,0)</f>
        <v>20</v>
      </c>
      <c r="AF124" s="115"/>
      <c r="AG124" s="115"/>
      <c r="AH124" s="115">
        <f t="shared" si="246"/>
        <v>5.25</v>
      </c>
      <c r="AI124" s="115"/>
      <c r="AJ124" s="115">
        <f t="shared" si="247"/>
        <v>0</v>
      </c>
      <c r="AK124" s="115"/>
      <c r="AL124" s="142"/>
      <c r="AM124" s="153"/>
      <c r="AN124" s="153"/>
      <c r="AO124" s="153"/>
      <c r="AP124" s="153"/>
      <c r="AQ124" s="153"/>
      <c r="AR124" s="153"/>
      <c r="AS124" s="153"/>
      <c r="AT124" s="153"/>
      <c r="AU124" s="153"/>
      <c r="AV124" s="153"/>
      <c r="AW124" s="153"/>
      <c r="AX124" s="153"/>
      <c r="AY124" s="153"/>
      <c r="AZ124" s="153"/>
      <c r="BA124" s="153"/>
      <c r="BB124" s="153"/>
      <c r="BC124" s="153"/>
      <c r="BD124" s="153"/>
      <c r="BE124" s="153"/>
      <c r="BF124" s="153"/>
      <c r="BG124" s="153"/>
      <c r="BS124" s="13">
        <v>2</v>
      </c>
      <c r="BT124" s="123">
        <v>44491</v>
      </c>
      <c r="BU124" s="116" t="s">
        <v>8</v>
      </c>
      <c r="BV124" s="115" t="s">
        <v>482</v>
      </c>
      <c r="BW124" s="116" t="s">
        <v>502</v>
      </c>
      <c r="BX124" s="115">
        <v>18400</v>
      </c>
      <c r="BY124" s="115">
        <v>41.7</v>
      </c>
      <c r="BZ124" s="115">
        <v>47.945</v>
      </c>
      <c r="CA124" s="119">
        <v>-3216.6708800000001</v>
      </c>
      <c r="CB124" s="115">
        <v>1.1497601918465228</v>
      </c>
      <c r="CC124" s="115">
        <v>500</v>
      </c>
      <c r="CD124" s="115">
        <v>50</v>
      </c>
      <c r="CE124" s="119">
        <v>20850</v>
      </c>
    </row>
    <row r="125" spans="1:83" hidden="1">
      <c r="A125" s="13">
        <f t="shared" si="244"/>
        <v>118</v>
      </c>
      <c r="B125" s="123">
        <v>44652</v>
      </c>
      <c r="C125" s="116" t="s">
        <v>8</v>
      </c>
      <c r="D125" s="116">
        <v>1</v>
      </c>
      <c r="E125" s="115" t="s">
        <v>481</v>
      </c>
      <c r="F125" s="116" t="s">
        <v>284</v>
      </c>
      <c r="G125" s="115">
        <v>510</v>
      </c>
      <c r="H125" s="117">
        <v>44679</v>
      </c>
      <c r="I125" s="115">
        <v>2850</v>
      </c>
      <c r="J125" s="115">
        <v>3</v>
      </c>
      <c r="K125" s="115">
        <v>0.85</v>
      </c>
      <c r="L125" s="119">
        <f t="shared" ca="1" si="212"/>
        <v>0</v>
      </c>
      <c r="M125" s="119">
        <f t="shared" si="213"/>
        <v>6127.5</v>
      </c>
      <c r="N125" s="115">
        <f t="shared" si="339"/>
        <v>0.28333333333333333</v>
      </c>
      <c r="O125" s="156">
        <f t="shared" si="340"/>
        <v>3.75</v>
      </c>
      <c r="P125" s="160">
        <f t="shared" si="245"/>
        <v>8550</v>
      </c>
      <c r="Q125" s="160" t="e">
        <f t="shared" si="341"/>
        <v>#N/A</v>
      </c>
      <c r="R125" s="153" t="e">
        <f t="shared" ca="1" si="214"/>
        <v>#VALUE!</v>
      </c>
      <c r="S125" s="119">
        <f t="shared" si="342"/>
        <v>0.29999999999999993</v>
      </c>
      <c r="T125" s="115" t="e">
        <f>VLOOKUP(TRIM($F125),Reference!B:C,2,0)</f>
        <v>#VALUE!</v>
      </c>
      <c r="U125" s="170">
        <f t="shared" ca="1" si="343"/>
        <v>0</v>
      </c>
      <c r="V125" s="120" t="str">
        <f t="shared" si="204"/>
        <v>TATAMOTORS22APR510CE</v>
      </c>
      <c r="W125" s="158" t="e">
        <f>VLOOKUP($V125,Reference!BA:BD,4,0)</f>
        <v>#N/A</v>
      </c>
      <c r="X125" s="160">
        <f t="shared" ca="1" si="205"/>
        <v>0</v>
      </c>
      <c r="Y125" s="160">
        <f t="shared" ca="1" si="206"/>
        <v>0</v>
      </c>
      <c r="Z125" s="160">
        <f t="shared" ca="1" si="215"/>
        <v>0</v>
      </c>
      <c r="AA125" s="160">
        <f t="shared" ca="1" si="207"/>
        <v>0</v>
      </c>
      <c r="AB125" s="160">
        <f t="shared" ca="1" si="208"/>
        <v>0</v>
      </c>
      <c r="AC125" s="119">
        <f t="shared" ca="1" si="209"/>
        <v>0</v>
      </c>
      <c r="AD125" s="115">
        <f t="shared" ca="1" si="344"/>
        <v>-1.3835616438356164</v>
      </c>
      <c r="AE125" s="115">
        <f t="shared" si="345"/>
        <v>20</v>
      </c>
      <c r="AF125" s="115"/>
      <c r="AG125" s="115"/>
      <c r="AH125" s="115">
        <f t="shared" si="246"/>
        <v>4.2750000000000004</v>
      </c>
      <c r="AI125" s="115"/>
      <c r="AJ125" s="115">
        <f t="shared" si="247"/>
        <v>0</v>
      </c>
      <c r="AK125" s="115"/>
      <c r="AL125" s="142"/>
      <c r="AM125" s="153"/>
      <c r="AN125" s="153"/>
      <c r="AO125" s="153"/>
      <c r="AP125" s="153"/>
      <c r="AQ125" s="153"/>
      <c r="AR125" s="153"/>
      <c r="AS125" s="153"/>
      <c r="AT125" s="153"/>
      <c r="AU125" s="153"/>
      <c r="AV125" s="153"/>
      <c r="AW125" s="153"/>
      <c r="AX125" s="153"/>
      <c r="AY125" s="153"/>
      <c r="AZ125" s="153"/>
      <c r="BA125" s="153"/>
      <c r="BB125" s="153"/>
      <c r="BC125" s="153"/>
      <c r="BD125" s="153"/>
      <c r="BE125" s="153"/>
      <c r="BF125" s="153"/>
      <c r="BG125" s="153"/>
      <c r="BS125" s="13">
        <v>2</v>
      </c>
      <c r="BT125" s="123">
        <v>44491</v>
      </c>
      <c r="BU125" s="116" t="s">
        <v>8</v>
      </c>
      <c r="BV125" s="115" t="s">
        <v>482</v>
      </c>
      <c r="BW125" s="116" t="s">
        <v>502</v>
      </c>
      <c r="BX125" s="115">
        <v>18400</v>
      </c>
      <c r="BY125" s="115">
        <v>41.7</v>
      </c>
      <c r="BZ125" s="115">
        <v>47.945</v>
      </c>
      <c r="CA125" s="119">
        <v>-3216.6708800000001</v>
      </c>
      <c r="CB125" s="115">
        <v>1.1497601918465228</v>
      </c>
      <c r="CC125" s="115">
        <v>500</v>
      </c>
      <c r="CD125" s="115">
        <v>50</v>
      </c>
      <c r="CE125" s="119">
        <v>20850</v>
      </c>
    </row>
    <row r="126" spans="1:83" hidden="1">
      <c r="A126" s="13">
        <f t="shared" si="244"/>
        <v>119</v>
      </c>
      <c r="B126" s="123">
        <v>44652</v>
      </c>
      <c r="C126" s="116" t="s">
        <v>8</v>
      </c>
      <c r="D126" s="116">
        <v>1</v>
      </c>
      <c r="E126" s="115" t="s">
        <v>481</v>
      </c>
      <c r="F126" s="116" t="s">
        <v>126</v>
      </c>
      <c r="G126" s="115">
        <v>270</v>
      </c>
      <c r="H126" s="117">
        <v>44679</v>
      </c>
      <c r="I126" s="115">
        <v>3750</v>
      </c>
      <c r="J126" s="115">
        <v>1.7</v>
      </c>
      <c r="K126" s="115">
        <v>0.75</v>
      </c>
      <c r="L126" s="119">
        <f t="shared" ca="1" si="212"/>
        <v>0</v>
      </c>
      <c r="M126" s="119">
        <f t="shared" si="213"/>
        <v>3562.5</v>
      </c>
      <c r="N126" s="115">
        <f t="shared" ref="N126" si="346">K126/$J126</f>
        <v>0.44117647058823528</v>
      </c>
      <c r="O126" s="156">
        <f t="shared" ref="O126" si="347">J126*(1+$O$6*IF(C126="B",-1,1))</f>
        <v>2.125</v>
      </c>
      <c r="P126" s="160">
        <f t="shared" si="245"/>
        <v>6375</v>
      </c>
      <c r="Q126" s="160" t="e">
        <f t="shared" ref="Q126" si="348">(W126-J126)*I126*IF(C126="B",1,-1)*IF(K126=0,1,0)</f>
        <v>#N/A</v>
      </c>
      <c r="R126" s="153" t="e">
        <f t="shared" ca="1" si="214"/>
        <v>#VALUE!</v>
      </c>
      <c r="S126" s="119">
        <f t="shared" ref="S126" si="349">(1-$S$6)*J126</f>
        <v>0.16999999999999996</v>
      </c>
      <c r="T126" s="115" t="e">
        <f>VLOOKUP(TRIM($F126),Reference!B:C,2,0)</f>
        <v>#VALUE!</v>
      </c>
      <c r="U126" s="170">
        <f t="shared" ref="U126" ca="1" si="350">AC126</f>
        <v>0</v>
      </c>
      <c r="V126" s="120" t="str">
        <f t="shared" si="204"/>
        <v>IEX22APR270CE</v>
      </c>
      <c r="W126" s="158" t="e">
        <f>VLOOKUP($V126,Reference!BA:BD,4,0)</f>
        <v>#N/A</v>
      </c>
      <c r="X126" s="160">
        <f t="shared" ca="1" si="205"/>
        <v>0</v>
      </c>
      <c r="Y126" s="160">
        <f t="shared" ca="1" si="206"/>
        <v>0</v>
      </c>
      <c r="Z126" s="160">
        <f t="shared" ca="1" si="215"/>
        <v>0</v>
      </c>
      <c r="AA126" s="160">
        <f t="shared" ca="1" si="207"/>
        <v>0</v>
      </c>
      <c r="AB126" s="160">
        <f t="shared" ca="1" si="208"/>
        <v>0</v>
      </c>
      <c r="AC126" s="119">
        <f t="shared" ca="1" si="209"/>
        <v>0</v>
      </c>
      <c r="AD126" s="115">
        <f t="shared" ref="AD126" ca="1" si="351">(H126-TODAY())/365</f>
        <v>-1.3835616438356164</v>
      </c>
      <c r="AE126" s="115">
        <f t="shared" ref="AE126" si="352">IF(I126&lt;&gt;0,20,0)</f>
        <v>20</v>
      </c>
      <c r="AF126" s="115"/>
      <c r="AG126" s="115"/>
      <c r="AH126" s="115">
        <f t="shared" si="246"/>
        <v>3.1875</v>
      </c>
      <c r="AI126" s="115"/>
      <c r="AJ126" s="115">
        <f t="shared" si="247"/>
        <v>0</v>
      </c>
      <c r="AK126" s="115"/>
      <c r="AL126" s="142"/>
      <c r="AM126" s="153"/>
      <c r="AN126" s="153"/>
      <c r="AO126" s="153"/>
      <c r="AP126" s="153"/>
      <c r="AQ126" s="153"/>
      <c r="AR126" s="153"/>
      <c r="AS126" s="153"/>
      <c r="AT126" s="153"/>
      <c r="AU126" s="153"/>
      <c r="AV126" s="153"/>
      <c r="AW126" s="153"/>
      <c r="AX126" s="153"/>
      <c r="AY126" s="153"/>
      <c r="AZ126" s="153"/>
      <c r="BA126" s="153"/>
      <c r="BB126" s="153"/>
      <c r="BC126" s="153"/>
      <c r="BD126" s="153"/>
      <c r="BE126" s="153"/>
      <c r="BF126" s="153"/>
      <c r="BG126" s="153"/>
      <c r="BS126" s="13">
        <v>2</v>
      </c>
      <c r="BT126" s="123">
        <v>44491</v>
      </c>
      <c r="BU126" s="116" t="s">
        <v>8</v>
      </c>
      <c r="BV126" s="115" t="s">
        <v>482</v>
      </c>
      <c r="BW126" s="116" t="s">
        <v>502</v>
      </c>
      <c r="BX126" s="115">
        <v>18400</v>
      </c>
      <c r="BY126" s="115">
        <v>41.7</v>
      </c>
      <c r="BZ126" s="115">
        <v>47.945</v>
      </c>
      <c r="CA126" s="119">
        <v>-3216.6708800000001</v>
      </c>
      <c r="CB126" s="115">
        <v>1.1497601918465228</v>
      </c>
      <c r="CC126" s="115">
        <v>500</v>
      </c>
      <c r="CD126" s="115">
        <v>50</v>
      </c>
      <c r="CE126" s="119">
        <v>20850</v>
      </c>
    </row>
    <row r="127" spans="1:83" hidden="1">
      <c r="A127" s="13">
        <f t="shared" si="244"/>
        <v>120</v>
      </c>
      <c r="B127" s="123">
        <v>44652</v>
      </c>
      <c r="C127" s="116" t="s">
        <v>8</v>
      </c>
      <c r="D127" s="116">
        <v>1</v>
      </c>
      <c r="E127" s="115" t="s">
        <v>481</v>
      </c>
      <c r="F127" s="116" t="s">
        <v>90</v>
      </c>
      <c r="G127" s="115">
        <v>4040</v>
      </c>
      <c r="H127" s="117">
        <v>44679</v>
      </c>
      <c r="I127" s="115">
        <v>150</v>
      </c>
      <c r="J127" s="115">
        <v>20.7</v>
      </c>
      <c r="K127" s="115">
        <v>1.8</v>
      </c>
      <c r="L127" s="119">
        <f t="shared" ca="1" si="212"/>
        <v>0</v>
      </c>
      <c r="M127" s="119">
        <f t="shared" si="213"/>
        <v>2835</v>
      </c>
      <c r="N127" s="115">
        <f t="shared" ref="N127" si="353">K127/$J127</f>
        <v>8.6956521739130446E-2</v>
      </c>
      <c r="O127" s="156">
        <f t="shared" ref="O127" si="354">J127*(1+$O$6*IF(C127="B",-1,1))</f>
        <v>25.875</v>
      </c>
      <c r="P127" s="160">
        <f t="shared" si="245"/>
        <v>3105</v>
      </c>
      <c r="Q127" s="160" t="e">
        <f t="shared" ref="Q127" si="355">(W127-J127)*I127*IF(C127="B",1,-1)*IF(K127=0,1,0)</f>
        <v>#N/A</v>
      </c>
      <c r="R127" s="153" t="e">
        <f t="shared" ca="1" si="214"/>
        <v>#VALUE!</v>
      </c>
      <c r="S127" s="119">
        <f t="shared" ref="S127" si="356">(1-$S$6)*J127</f>
        <v>2.0699999999999994</v>
      </c>
      <c r="T127" s="115" t="e">
        <f>VLOOKUP(TRIM($F127),Reference!B:C,2,0)</f>
        <v>#VALUE!</v>
      </c>
      <c r="U127" s="170">
        <f t="shared" ref="U127" ca="1" si="357">AC127</f>
        <v>0</v>
      </c>
      <c r="V127" s="120" t="str">
        <f t="shared" si="204"/>
        <v>TCS22APR4040CE</v>
      </c>
      <c r="W127" s="158" t="e">
        <f>VLOOKUP($V127,Reference!BA:BD,4,0)</f>
        <v>#N/A</v>
      </c>
      <c r="X127" s="160">
        <f t="shared" ca="1" si="205"/>
        <v>0</v>
      </c>
      <c r="Y127" s="160">
        <f t="shared" ca="1" si="206"/>
        <v>0</v>
      </c>
      <c r="Z127" s="160">
        <f t="shared" ca="1" si="215"/>
        <v>0</v>
      </c>
      <c r="AA127" s="160">
        <f t="shared" ca="1" si="207"/>
        <v>0</v>
      </c>
      <c r="AB127" s="160">
        <f t="shared" ca="1" si="208"/>
        <v>0</v>
      </c>
      <c r="AC127" s="119">
        <f t="shared" ca="1" si="209"/>
        <v>0</v>
      </c>
      <c r="AD127" s="115">
        <f t="shared" ref="AD127" ca="1" si="358">(H127-TODAY())/365</f>
        <v>-1.3835616438356164</v>
      </c>
      <c r="AE127" s="115">
        <f t="shared" ref="AE127" si="359">IF(I127&lt;&gt;0,20,0)</f>
        <v>20</v>
      </c>
      <c r="AF127" s="115"/>
      <c r="AG127" s="115"/>
      <c r="AH127" s="115">
        <f t="shared" si="246"/>
        <v>1.5525</v>
      </c>
      <c r="AI127" s="115"/>
      <c r="AJ127" s="115">
        <f t="shared" si="247"/>
        <v>0</v>
      </c>
      <c r="AK127" s="115"/>
      <c r="AL127" s="142"/>
      <c r="AM127" s="153"/>
      <c r="AN127" s="153"/>
      <c r="AO127" s="153"/>
      <c r="AP127" s="153"/>
      <c r="AQ127" s="153"/>
      <c r="AR127" s="153"/>
      <c r="AS127" s="153"/>
      <c r="AT127" s="153"/>
      <c r="AU127" s="153"/>
      <c r="AV127" s="153"/>
      <c r="AW127" s="153"/>
      <c r="AX127" s="153"/>
      <c r="AY127" s="153"/>
      <c r="AZ127" s="153"/>
      <c r="BA127" s="153"/>
      <c r="BB127" s="153"/>
      <c r="BC127" s="153"/>
      <c r="BD127" s="153"/>
      <c r="BE127" s="153"/>
      <c r="BF127" s="153"/>
      <c r="BG127" s="153"/>
      <c r="BS127" s="13">
        <v>2</v>
      </c>
      <c r="BT127" s="123">
        <v>44491</v>
      </c>
      <c r="BU127" s="116" t="s">
        <v>8</v>
      </c>
      <c r="BV127" s="115" t="s">
        <v>482</v>
      </c>
      <c r="BW127" s="116" t="s">
        <v>502</v>
      </c>
      <c r="BX127" s="115">
        <v>18400</v>
      </c>
      <c r="BY127" s="115">
        <v>41.7</v>
      </c>
      <c r="BZ127" s="115">
        <v>47.945</v>
      </c>
      <c r="CA127" s="119">
        <v>-3216.6708800000001</v>
      </c>
      <c r="CB127" s="115">
        <v>1.1497601918465228</v>
      </c>
      <c r="CC127" s="115">
        <v>500</v>
      </c>
      <c r="CD127" s="115">
        <v>50</v>
      </c>
      <c r="CE127" s="119">
        <v>20850</v>
      </c>
    </row>
    <row r="128" spans="1:83" hidden="1">
      <c r="A128" s="13">
        <f t="shared" si="244"/>
        <v>121</v>
      </c>
      <c r="B128" s="123">
        <v>44652</v>
      </c>
      <c r="C128" s="116" t="s">
        <v>8</v>
      </c>
      <c r="D128" s="116">
        <v>1</v>
      </c>
      <c r="E128" s="115" t="s">
        <v>481</v>
      </c>
      <c r="F128" s="116" t="s">
        <v>502</v>
      </c>
      <c r="G128" s="115">
        <v>18500</v>
      </c>
      <c r="H128" s="117">
        <v>44679</v>
      </c>
      <c r="I128" s="115">
        <v>100</v>
      </c>
      <c r="J128" s="115">
        <v>49.5</v>
      </c>
      <c r="K128" s="115">
        <v>4</v>
      </c>
      <c r="L128" s="119">
        <f t="shared" ca="1" si="212"/>
        <v>0</v>
      </c>
      <c r="M128" s="119">
        <f t="shared" si="213"/>
        <v>4550</v>
      </c>
      <c r="N128" s="115">
        <f t="shared" ref="N128" si="360">K128/$J128</f>
        <v>8.0808080808080815E-2</v>
      </c>
      <c r="O128" s="156">
        <f t="shared" ref="O128" si="361">J128*(1+$O$6*IF(C128="B",-1,1))</f>
        <v>61.875</v>
      </c>
      <c r="P128" s="160">
        <f t="shared" si="245"/>
        <v>4950</v>
      </c>
      <c r="Q128" s="160" t="e">
        <f t="shared" ref="Q128" si="362">(W128-J128)*I128*IF(C128="B",1,-1)*IF(K128=0,1,0)</f>
        <v>#N/A</v>
      </c>
      <c r="R128" s="153" t="e">
        <f t="shared" ca="1" si="214"/>
        <v>#VALUE!</v>
      </c>
      <c r="S128" s="119">
        <f t="shared" ref="S128" si="363">(1-$S$6)*J128</f>
        <v>4.9499999999999993</v>
      </c>
      <c r="T128" s="115" t="str">
        <f>VLOOKUP(TRIM($F128),Reference!B:C,2,0)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28" s="170">
        <f t="shared" ref="U128" ca="1" si="364">AC128</f>
        <v>0</v>
      </c>
      <c r="V128" s="120" t="str">
        <f t="shared" si="204"/>
        <v>NIFTY22APR18500CE</v>
      </c>
      <c r="W128" s="158" t="e">
        <f>VLOOKUP($V128,Reference!BA:BD,4,0)</f>
        <v>#N/A</v>
      </c>
      <c r="X128" s="160">
        <f t="shared" ca="1" si="205"/>
        <v>0</v>
      </c>
      <c r="Y128" s="160">
        <f t="shared" ca="1" si="206"/>
        <v>0</v>
      </c>
      <c r="Z128" s="160">
        <f t="shared" ca="1" si="215"/>
        <v>0</v>
      </c>
      <c r="AA128" s="160">
        <f t="shared" ca="1" si="207"/>
        <v>0</v>
      </c>
      <c r="AB128" s="160">
        <f t="shared" ca="1" si="208"/>
        <v>0</v>
      </c>
      <c r="AC128" s="119">
        <f t="shared" ca="1" si="209"/>
        <v>0</v>
      </c>
      <c r="AD128" s="115">
        <f t="shared" ref="AD128" ca="1" si="365">(H128-TODAY())/365</f>
        <v>-1.3835616438356164</v>
      </c>
      <c r="AE128" s="115">
        <f t="shared" ref="AE128" si="366">IF(I128&lt;&gt;0,20,0)</f>
        <v>20</v>
      </c>
      <c r="AF128" s="115"/>
      <c r="AG128" s="115"/>
      <c r="AH128" s="115">
        <f t="shared" si="246"/>
        <v>2.4750000000000001</v>
      </c>
      <c r="AI128" s="115"/>
      <c r="AJ128" s="115">
        <f t="shared" si="247"/>
        <v>0</v>
      </c>
      <c r="AK128" s="115"/>
      <c r="AL128" s="142"/>
      <c r="AM128" s="153"/>
      <c r="AN128" s="153"/>
      <c r="AO128" s="153"/>
      <c r="AP128" s="153"/>
      <c r="AQ128" s="153"/>
      <c r="AR128" s="153"/>
      <c r="AS128" s="153"/>
      <c r="AT128" s="153"/>
      <c r="AU128" s="153"/>
      <c r="AV128" s="153"/>
      <c r="AW128" s="153"/>
      <c r="AX128" s="153"/>
      <c r="AY128" s="153"/>
      <c r="AZ128" s="153"/>
      <c r="BA128" s="153"/>
      <c r="BB128" s="153"/>
      <c r="BC128" s="153"/>
      <c r="BD128" s="153"/>
      <c r="BE128" s="153"/>
      <c r="BF128" s="153"/>
      <c r="BG128" s="153"/>
      <c r="BS128" s="13">
        <v>2</v>
      </c>
      <c r="BT128" s="123">
        <v>44491</v>
      </c>
      <c r="BU128" s="116" t="s">
        <v>8</v>
      </c>
      <c r="BV128" s="115" t="s">
        <v>482</v>
      </c>
      <c r="BW128" s="116" t="s">
        <v>502</v>
      </c>
      <c r="BX128" s="115">
        <v>18400</v>
      </c>
      <c r="BY128" s="115">
        <v>41.7</v>
      </c>
      <c r="BZ128" s="115">
        <v>47.945</v>
      </c>
      <c r="CA128" s="119">
        <v>-3216.6708800000001</v>
      </c>
      <c r="CB128" s="115">
        <v>1.1497601918465228</v>
      </c>
      <c r="CC128" s="115">
        <v>500</v>
      </c>
      <c r="CD128" s="115">
        <v>50</v>
      </c>
      <c r="CE128" s="119">
        <v>20850</v>
      </c>
    </row>
    <row r="129" spans="1:83" hidden="1">
      <c r="A129" s="13">
        <f t="shared" si="244"/>
        <v>122</v>
      </c>
      <c r="B129" s="123">
        <v>44652</v>
      </c>
      <c r="C129" s="116" t="s">
        <v>8</v>
      </c>
      <c r="D129" s="116">
        <v>1</v>
      </c>
      <c r="E129" s="115" t="s">
        <v>481</v>
      </c>
      <c r="F129" s="116" t="s">
        <v>502</v>
      </c>
      <c r="G129" s="115">
        <v>18600</v>
      </c>
      <c r="H129" s="117">
        <v>44679</v>
      </c>
      <c r="I129" s="115">
        <v>100</v>
      </c>
      <c r="J129" s="115">
        <v>35.299999999999997</v>
      </c>
      <c r="K129" s="115">
        <v>3.25</v>
      </c>
      <c r="L129" s="119">
        <f t="shared" ca="1" si="212"/>
        <v>0</v>
      </c>
      <c r="M129" s="119">
        <f t="shared" si="213"/>
        <v>3204.9999999999995</v>
      </c>
      <c r="N129" s="115">
        <f t="shared" ref="N129" si="367">K129/$J129</f>
        <v>9.2067988668555242E-2</v>
      </c>
      <c r="O129" s="156">
        <f t="shared" ref="O129" si="368">J129*(1+$O$6*IF(C129="B",-1,1))</f>
        <v>44.125</v>
      </c>
      <c r="P129" s="160">
        <f t="shared" si="245"/>
        <v>3529.9999999999995</v>
      </c>
      <c r="Q129" s="160" t="e">
        <f t="shared" ref="Q129" si="369">(W129-J129)*I129*IF(C129="B",1,-1)*IF(K129=0,1,0)</f>
        <v>#N/A</v>
      </c>
      <c r="R129" s="153" t="e">
        <f t="shared" ca="1" si="214"/>
        <v>#VALUE!</v>
      </c>
      <c r="S129" s="119">
        <f t="shared" ref="S129" si="370">(1-$S$6)*J129</f>
        <v>3.5299999999999989</v>
      </c>
      <c r="T129" s="115" t="str">
        <f>VLOOKUP(TRIM($F129),Reference!B:C,2,0)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29" s="170">
        <f t="shared" ref="U129" ca="1" si="371">AC129</f>
        <v>0</v>
      </c>
      <c r="V129" s="120" t="str">
        <f t="shared" si="204"/>
        <v>NIFTY22APR18600CE</v>
      </c>
      <c r="W129" s="158" t="e">
        <f>VLOOKUP($V129,Reference!BA:BD,4,0)</f>
        <v>#N/A</v>
      </c>
      <c r="X129" s="160">
        <f t="shared" ca="1" si="205"/>
        <v>0</v>
      </c>
      <c r="Y129" s="160">
        <f t="shared" ca="1" si="206"/>
        <v>0</v>
      </c>
      <c r="Z129" s="160">
        <f t="shared" ca="1" si="215"/>
        <v>0</v>
      </c>
      <c r="AA129" s="160">
        <f t="shared" ca="1" si="207"/>
        <v>0</v>
      </c>
      <c r="AB129" s="160">
        <f t="shared" ca="1" si="208"/>
        <v>0</v>
      </c>
      <c r="AC129" s="119">
        <f t="shared" ca="1" si="209"/>
        <v>0</v>
      </c>
      <c r="AD129" s="115">
        <f t="shared" ref="AD129" ca="1" si="372">(H129-TODAY())/365</f>
        <v>-1.3835616438356164</v>
      </c>
      <c r="AE129" s="115">
        <f t="shared" ref="AE129" si="373">IF(I129&lt;&gt;0,20,0)</f>
        <v>20</v>
      </c>
      <c r="AF129" s="115"/>
      <c r="AG129" s="115"/>
      <c r="AH129" s="115">
        <f t="shared" si="246"/>
        <v>1.7649999999999999</v>
      </c>
      <c r="AI129" s="115"/>
      <c r="AJ129" s="115">
        <f t="shared" si="247"/>
        <v>0</v>
      </c>
      <c r="AK129" s="115"/>
      <c r="AL129" s="142"/>
      <c r="AM129" s="153"/>
      <c r="AN129" s="153"/>
      <c r="AO129" s="153"/>
      <c r="AP129" s="153"/>
      <c r="AQ129" s="153"/>
      <c r="AR129" s="153"/>
      <c r="AS129" s="153"/>
      <c r="AT129" s="153"/>
      <c r="AU129" s="153"/>
      <c r="AV129" s="153"/>
      <c r="AW129" s="153"/>
      <c r="AX129" s="153"/>
      <c r="AY129" s="153"/>
      <c r="AZ129" s="153"/>
      <c r="BA129" s="153"/>
      <c r="BB129" s="153"/>
      <c r="BC129" s="153"/>
      <c r="BD129" s="153"/>
      <c r="BE129" s="153"/>
      <c r="BF129" s="153"/>
      <c r="BG129" s="153"/>
      <c r="BS129" s="13">
        <v>2</v>
      </c>
      <c r="BT129" s="123">
        <v>44491</v>
      </c>
      <c r="BU129" s="116" t="s">
        <v>8</v>
      </c>
      <c r="BV129" s="115" t="s">
        <v>482</v>
      </c>
      <c r="BW129" s="116" t="s">
        <v>502</v>
      </c>
      <c r="BX129" s="115">
        <v>18400</v>
      </c>
      <c r="BY129" s="115">
        <v>41.7</v>
      </c>
      <c r="BZ129" s="115">
        <v>47.945</v>
      </c>
      <c r="CA129" s="119">
        <v>-3216.6708800000001</v>
      </c>
      <c r="CB129" s="115">
        <v>1.1497601918465228</v>
      </c>
      <c r="CC129" s="115">
        <v>500</v>
      </c>
      <c r="CD129" s="115">
        <v>50</v>
      </c>
      <c r="CE129" s="119">
        <v>20850</v>
      </c>
    </row>
    <row r="130" spans="1:83" hidden="1">
      <c r="A130" s="13">
        <f t="shared" si="244"/>
        <v>123</v>
      </c>
      <c r="B130" s="123">
        <v>44652</v>
      </c>
      <c r="C130" s="116" t="s">
        <v>8</v>
      </c>
      <c r="D130" s="116">
        <v>1</v>
      </c>
      <c r="E130" s="115" t="s">
        <v>481</v>
      </c>
      <c r="F130" s="116" t="s">
        <v>506</v>
      </c>
      <c r="G130" s="115">
        <v>38500</v>
      </c>
      <c r="H130" s="117">
        <v>44679</v>
      </c>
      <c r="I130" s="115">
        <v>25</v>
      </c>
      <c r="J130" s="115">
        <v>316</v>
      </c>
      <c r="K130" s="115">
        <v>838.5</v>
      </c>
      <c r="L130" s="119">
        <f t="shared" ca="1" si="212"/>
        <v>0</v>
      </c>
      <c r="M130" s="119">
        <f t="shared" si="213"/>
        <v>-13062.5</v>
      </c>
      <c r="N130" s="115">
        <f t="shared" ref="N130" si="374">K130/$J130</f>
        <v>2.653481012658228</v>
      </c>
      <c r="O130" s="156">
        <f t="shared" ref="O130" si="375">J130*(1+$O$6*IF(C130="B",-1,1))</f>
        <v>395</v>
      </c>
      <c r="P130" s="160">
        <f t="shared" si="245"/>
        <v>7900</v>
      </c>
      <c r="Q130" s="160" t="e">
        <f t="shared" ref="Q130" si="376">(W130-J130)*I130*IF(C130="B",1,-1)*IF(K130=0,1,0)</f>
        <v>#N/A</v>
      </c>
      <c r="R130" s="153" t="e">
        <f t="shared" ca="1" si="214"/>
        <v>#VALUE!</v>
      </c>
      <c r="S130" s="119">
        <f t="shared" ref="S130" si="377">(1-$S$6)*J130</f>
        <v>31.599999999999994</v>
      </c>
      <c r="T130" s="115" t="str">
        <f>VLOOKUP(TRIM($F130),Reference!B:C,2,0)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30" s="170">
        <f t="shared" ref="U130" ca="1" si="378">AC130</f>
        <v>0</v>
      </c>
      <c r="V130" s="120" t="str">
        <f t="shared" si="204"/>
        <v>BANKNIFTY22APR38500CE</v>
      </c>
      <c r="W130" s="158" t="e">
        <f>VLOOKUP($V130,Reference!BA:BD,4,0)</f>
        <v>#N/A</v>
      </c>
      <c r="X130" s="160">
        <f t="shared" ca="1" si="205"/>
        <v>0</v>
      </c>
      <c r="Y130" s="160">
        <f t="shared" ca="1" si="206"/>
        <v>0</v>
      </c>
      <c r="Z130" s="160">
        <f t="shared" ca="1" si="215"/>
        <v>0</v>
      </c>
      <c r="AA130" s="160">
        <f t="shared" ca="1" si="207"/>
        <v>0</v>
      </c>
      <c r="AB130" s="160">
        <f t="shared" ca="1" si="208"/>
        <v>0</v>
      </c>
      <c r="AC130" s="119">
        <f t="shared" ca="1" si="209"/>
        <v>0</v>
      </c>
      <c r="AD130" s="115">
        <f t="shared" ref="AD130" ca="1" si="379">(H130-TODAY())/365</f>
        <v>-1.3835616438356164</v>
      </c>
      <c r="AE130" s="115">
        <f t="shared" ref="AE130" si="380">IF(I130&lt;&gt;0,20,0)</f>
        <v>20</v>
      </c>
      <c r="AF130" s="115"/>
      <c r="AG130" s="115"/>
      <c r="AH130" s="115">
        <f t="shared" si="246"/>
        <v>3.95</v>
      </c>
      <c r="AI130" s="115"/>
      <c r="AJ130" s="115">
        <f t="shared" si="247"/>
        <v>0</v>
      </c>
      <c r="AK130" s="115"/>
      <c r="AL130" s="142"/>
      <c r="AM130" s="153"/>
      <c r="AN130" s="153"/>
      <c r="AO130" s="153"/>
      <c r="AP130" s="153"/>
      <c r="AQ130" s="153"/>
      <c r="AR130" s="153"/>
      <c r="AS130" s="153"/>
      <c r="AT130" s="153"/>
      <c r="AU130" s="153"/>
      <c r="AV130" s="153"/>
      <c r="AW130" s="153"/>
      <c r="AX130" s="153"/>
      <c r="AY130" s="153"/>
      <c r="AZ130" s="153"/>
      <c r="BA130" s="153"/>
      <c r="BB130" s="153"/>
      <c r="BC130" s="153"/>
      <c r="BD130" s="153"/>
      <c r="BE130" s="153"/>
      <c r="BF130" s="153"/>
      <c r="BG130" s="153"/>
      <c r="BS130" s="13">
        <v>2</v>
      </c>
      <c r="BT130" s="123">
        <v>44491</v>
      </c>
      <c r="BU130" s="116" t="s">
        <v>8</v>
      </c>
      <c r="BV130" s="115" t="s">
        <v>482</v>
      </c>
      <c r="BW130" s="116" t="s">
        <v>502</v>
      </c>
      <c r="BX130" s="115">
        <v>18400</v>
      </c>
      <c r="BY130" s="115">
        <v>41.7</v>
      </c>
      <c r="BZ130" s="115">
        <v>47.945</v>
      </c>
      <c r="CA130" s="119">
        <v>-3216.6708800000001</v>
      </c>
      <c r="CB130" s="115">
        <v>1.1497601918465228</v>
      </c>
      <c r="CC130" s="115">
        <v>500</v>
      </c>
      <c r="CD130" s="115">
        <v>50</v>
      </c>
      <c r="CE130" s="119">
        <v>20850</v>
      </c>
    </row>
    <row r="131" spans="1:83" hidden="1">
      <c r="A131" s="13">
        <f t="shared" si="244"/>
        <v>124</v>
      </c>
      <c r="B131" s="123">
        <v>44652</v>
      </c>
      <c r="C131" s="116" t="s">
        <v>8</v>
      </c>
      <c r="D131" s="116">
        <v>1</v>
      </c>
      <c r="E131" s="115" t="s">
        <v>481</v>
      </c>
      <c r="F131" s="116" t="s">
        <v>506</v>
      </c>
      <c r="G131" s="115">
        <v>39000</v>
      </c>
      <c r="H131" s="117">
        <v>44679</v>
      </c>
      <c r="I131" s="115">
        <v>25</v>
      </c>
      <c r="J131" s="115">
        <v>213.55</v>
      </c>
      <c r="K131" s="115">
        <v>359.65</v>
      </c>
      <c r="L131" s="119">
        <f t="shared" ca="1" si="212"/>
        <v>0</v>
      </c>
      <c r="M131" s="119">
        <f t="shared" si="213"/>
        <v>-3652.4999999999991</v>
      </c>
      <c r="N131" s="115">
        <f t="shared" ref="N131:N134" si="381">K131/$J131</f>
        <v>1.6841489112619994</v>
      </c>
      <c r="O131" s="156">
        <f t="shared" ref="O131:O134" si="382">J131*(1+$O$6*IF(C131="B",-1,1))</f>
        <v>266.9375</v>
      </c>
      <c r="P131" s="160">
        <f t="shared" si="245"/>
        <v>5338.75</v>
      </c>
      <c r="Q131" s="160" t="e">
        <f t="shared" ref="Q131:Q134" si="383">(W131-J131)*I131*IF(C131="B",1,-1)*IF(K131=0,1,0)</f>
        <v>#N/A</v>
      </c>
      <c r="R131" s="153" t="e">
        <f t="shared" ca="1" si="214"/>
        <v>#VALUE!</v>
      </c>
      <c r="S131" s="119">
        <f t="shared" ref="S131:S134" si="384">(1-$S$6)*J131</f>
        <v>21.354999999999997</v>
      </c>
      <c r="T131" s="115" t="str">
        <f>VLOOKUP(TRIM($F131),Reference!B:C,2,0)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31" s="170">
        <f t="shared" ref="U131:U134" ca="1" si="385">AC131</f>
        <v>0</v>
      </c>
      <c r="V131" s="120" t="str">
        <f t="shared" si="204"/>
        <v>BANKNIFTY22APR39000CE</v>
      </c>
      <c r="W131" s="158" t="e">
        <f>VLOOKUP($V131,Reference!BA:BD,4,0)</f>
        <v>#N/A</v>
      </c>
      <c r="X131" s="160">
        <f t="shared" ca="1" si="205"/>
        <v>0</v>
      </c>
      <c r="Y131" s="160">
        <f t="shared" ca="1" si="206"/>
        <v>0</v>
      </c>
      <c r="Z131" s="160">
        <f t="shared" ca="1" si="215"/>
        <v>0</v>
      </c>
      <c r="AA131" s="160">
        <f t="shared" ca="1" si="207"/>
        <v>0</v>
      </c>
      <c r="AB131" s="160">
        <f t="shared" ca="1" si="208"/>
        <v>0</v>
      </c>
      <c r="AC131" s="119">
        <f t="shared" ca="1" si="209"/>
        <v>0</v>
      </c>
      <c r="AD131" s="115">
        <f t="shared" ref="AD131:AD134" ca="1" si="386">(H131-TODAY())/365</f>
        <v>-1.3835616438356164</v>
      </c>
      <c r="AE131" s="115">
        <f t="shared" ref="AE131:AE134" si="387">IF(I131&lt;&gt;0,20,0)</f>
        <v>20</v>
      </c>
      <c r="AF131" s="115"/>
      <c r="AG131" s="115"/>
      <c r="AH131" s="115">
        <f t="shared" si="246"/>
        <v>2.6693750000000001</v>
      </c>
      <c r="AI131" s="115"/>
      <c r="AJ131" s="115">
        <f t="shared" si="247"/>
        <v>0</v>
      </c>
      <c r="AK131" s="115"/>
      <c r="AL131" s="142"/>
      <c r="AM131" s="153"/>
      <c r="AN131" s="153"/>
      <c r="AO131" s="153"/>
      <c r="AP131" s="153"/>
      <c r="AQ131" s="153"/>
      <c r="AR131" s="153"/>
      <c r="AS131" s="153"/>
      <c r="AT131" s="153"/>
      <c r="AU131" s="153"/>
      <c r="AV131" s="153"/>
      <c r="AW131" s="153"/>
      <c r="AX131" s="153"/>
      <c r="AY131" s="153"/>
      <c r="AZ131" s="153"/>
      <c r="BA131" s="153"/>
      <c r="BB131" s="153"/>
      <c r="BC131" s="153"/>
      <c r="BD131" s="153"/>
      <c r="BE131" s="153"/>
      <c r="BF131" s="153"/>
      <c r="BG131" s="153"/>
      <c r="BS131" s="13">
        <v>2</v>
      </c>
      <c r="BT131" s="123">
        <v>44491</v>
      </c>
      <c r="BU131" s="116" t="s">
        <v>8</v>
      </c>
      <c r="BV131" s="115" t="s">
        <v>482</v>
      </c>
      <c r="BW131" s="116" t="s">
        <v>502</v>
      </c>
      <c r="BX131" s="115">
        <v>18400</v>
      </c>
      <c r="BY131" s="115">
        <v>41.7</v>
      </c>
      <c r="BZ131" s="115">
        <v>47.945</v>
      </c>
      <c r="CA131" s="119">
        <v>-3216.6708800000001</v>
      </c>
      <c r="CB131" s="115">
        <v>1.1497601918465228</v>
      </c>
      <c r="CC131" s="115">
        <v>500</v>
      </c>
      <c r="CD131" s="115">
        <v>50</v>
      </c>
      <c r="CE131" s="119">
        <v>20850</v>
      </c>
    </row>
    <row r="132" spans="1:83" hidden="1">
      <c r="A132" s="13">
        <f t="shared" si="244"/>
        <v>125</v>
      </c>
      <c r="B132" s="123">
        <v>44652</v>
      </c>
      <c r="C132" s="116" t="s">
        <v>8</v>
      </c>
      <c r="D132" s="116">
        <v>1</v>
      </c>
      <c r="E132" s="115" t="s">
        <v>481</v>
      </c>
      <c r="F132" s="116" t="s">
        <v>506</v>
      </c>
      <c r="G132" s="115">
        <v>39500</v>
      </c>
      <c r="H132" s="117">
        <v>44679</v>
      </c>
      <c r="I132" s="115">
        <v>25</v>
      </c>
      <c r="J132" s="115">
        <v>150</v>
      </c>
      <c r="K132" s="115">
        <v>234.2</v>
      </c>
      <c r="L132" s="119">
        <f t="shared" ca="1" si="212"/>
        <v>0</v>
      </c>
      <c r="M132" s="119">
        <f t="shared" si="213"/>
        <v>-2104.9999999999995</v>
      </c>
      <c r="N132" s="115">
        <f t="shared" si="381"/>
        <v>1.5613333333333332</v>
      </c>
      <c r="O132" s="156">
        <f t="shared" si="382"/>
        <v>187.5</v>
      </c>
      <c r="P132" s="160">
        <f t="shared" si="245"/>
        <v>3750</v>
      </c>
      <c r="Q132" s="160" t="e">
        <f t="shared" si="383"/>
        <v>#N/A</v>
      </c>
      <c r="R132" s="153" t="e">
        <f t="shared" ca="1" si="214"/>
        <v>#VALUE!</v>
      </c>
      <c r="S132" s="119">
        <f t="shared" si="384"/>
        <v>14.999999999999996</v>
      </c>
      <c r="T132" s="115" t="str">
        <f>VLOOKUP(TRIM($F132),Reference!B:C,2,0)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32" s="170">
        <f t="shared" ca="1" si="385"/>
        <v>0</v>
      </c>
      <c r="V132" s="120" t="str">
        <f t="shared" si="204"/>
        <v>BANKNIFTY22APR39500CE</v>
      </c>
      <c r="W132" s="158" t="e">
        <f>VLOOKUP($V132,Reference!BA:BD,4,0)</f>
        <v>#N/A</v>
      </c>
      <c r="X132" s="160">
        <f t="shared" ca="1" si="205"/>
        <v>0</v>
      </c>
      <c r="Y132" s="160">
        <f t="shared" ca="1" si="206"/>
        <v>0</v>
      </c>
      <c r="Z132" s="160">
        <f t="shared" ca="1" si="215"/>
        <v>0</v>
      </c>
      <c r="AA132" s="160">
        <f t="shared" ca="1" si="207"/>
        <v>0</v>
      </c>
      <c r="AB132" s="160">
        <f t="shared" ca="1" si="208"/>
        <v>0</v>
      </c>
      <c r="AC132" s="119">
        <f t="shared" ca="1" si="209"/>
        <v>0</v>
      </c>
      <c r="AD132" s="115">
        <f t="shared" ca="1" si="386"/>
        <v>-1.3835616438356164</v>
      </c>
      <c r="AE132" s="115">
        <f t="shared" si="387"/>
        <v>20</v>
      </c>
      <c r="AF132" s="115"/>
      <c r="AG132" s="115"/>
      <c r="AH132" s="115">
        <f t="shared" si="246"/>
        <v>1.875</v>
      </c>
      <c r="AI132" s="115"/>
      <c r="AJ132" s="115">
        <f t="shared" si="247"/>
        <v>0</v>
      </c>
      <c r="AK132" s="115"/>
      <c r="AL132" s="142"/>
      <c r="AM132" s="153"/>
      <c r="AN132" s="153"/>
      <c r="AO132" s="153"/>
      <c r="AP132" s="153"/>
      <c r="AQ132" s="153"/>
      <c r="AR132" s="153"/>
      <c r="AS132" s="153"/>
      <c r="AT132" s="153"/>
      <c r="AU132" s="153"/>
      <c r="AV132" s="153"/>
      <c r="AW132" s="153"/>
      <c r="AX132" s="153"/>
      <c r="AY132" s="153"/>
      <c r="AZ132" s="153"/>
      <c r="BA132" s="153"/>
      <c r="BB132" s="153"/>
      <c r="BC132" s="153"/>
      <c r="BD132" s="153"/>
      <c r="BE132" s="153"/>
      <c r="BF132" s="153"/>
      <c r="BG132" s="153"/>
      <c r="BS132" s="13">
        <v>2</v>
      </c>
      <c r="BT132" s="123">
        <v>44491</v>
      </c>
      <c r="BU132" s="116" t="s">
        <v>8</v>
      </c>
      <c r="BV132" s="115" t="s">
        <v>482</v>
      </c>
      <c r="BW132" s="116" t="s">
        <v>502</v>
      </c>
      <c r="BX132" s="115">
        <v>18400</v>
      </c>
      <c r="BY132" s="115">
        <v>41.7</v>
      </c>
      <c r="BZ132" s="115">
        <v>47.945</v>
      </c>
      <c r="CA132" s="119">
        <v>-3216.6708800000001</v>
      </c>
      <c r="CB132" s="115">
        <v>1.1497601918465228</v>
      </c>
      <c r="CC132" s="115">
        <v>500</v>
      </c>
      <c r="CD132" s="115">
        <v>50</v>
      </c>
      <c r="CE132" s="119">
        <v>20850</v>
      </c>
    </row>
    <row r="133" spans="1:83" hidden="1">
      <c r="A133" s="13">
        <f t="shared" si="244"/>
        <v>126</v>
      </c>
      <c r="B133" s="123">
        <v>44652</v>
      </c>
      <c r="C133" s="116" t="s">
        <v>8</v>
      </c>
      <c r="D133" s="116">
        <v>1</v>
      </c>
      <c r="E133" s="115" t="s">
        <v>481</v>
      </c>
      <c r="F133" s="116" t="s">
        <v>506</v>
      </c>
      <c r="G133" s="115">
        <v>40000</v>
      </c>
      <c r="H133" s="117">
        <v>44679</v>
      </c>
      <c r="I133" s="115">
        <v>25</v>
      </c>
      <c r="J133" s="115">
        <v>95.5</v>
      </c>
      <c r="K133" s="115">
        <v>3.2</v>
      </c>
      <c r="L133" s="119">
        <f t="shared" ca="1" si="212"/>
        <v>0</v>
      </c>
      <c r="M133" s="119">
        <f t="shared" si="213"/>
        <v>2307.5</v>
      </c>
      <c r="N133" s="115">
        <f t="shared" si="381"/>
        <v>3.3507853403141365E-2</v>
      </c>
      <c r="O133" s="156">
        <f t="shared" si="382"/>
        <v>119.375</v>
      </c>
      <c r="P133" s="160">
        <f t="shared" si="245"/>
        <v>2387.5</v>
      </c>
      <c r="Q133" s="160" t="e">
        <f t="shared" si="383"/>
        <v>#N/A</v>
      </c>
      <c r="R133" s="153" t="e">
        <f t="shared" ca="1" si="214"/>
        <v>#VALUE!</v>
      </c>
      <c r="S133" s="119">
        <f t="shared" si="384"/>
        <v>9.5499999999999972</v>
      </c>
      <c r="T133" s="115" t="str">
        <f>VLOOKUP(TRIM($F133),Reference!B:C,2,0)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33" s="170">
        <f t="shared" ca="1" si="385"/>
        <v>0</v>
      </c>
      <c r="V133" s="120" t="str">
        <f t="shared" si="204"/>
        <v>BANKNIFTY22APR40000CE</v>
      </c>
      <c r="W133" s="158" t="e">
        <f>VLOOKUP($V133,Reference!BA:BD,4,0)</f>
        <v>#N/A</v>
      </c>
      <c r="X133" s="160">
        <f t="shared" ca="1" si="205"/>
        <v>0</v>
      </c>
      <c r="Y133" s="160">
        <f t="shared" ca="1" si="206"/>
        <v>0</v>
      </c>
      <c r="Z133" s="160">
        <f t="shared" ca="1" si="215"/>
        <v>0</v>
      </c>
      <c r="AA133" s="160">
        <f t="shared" ca="1" si="207"/>
        <v>0</v>
      </c>
      <c r="AB133" s="160">
        <f t="shared" ca="1" si="208"/>
        <v>0</v>
      </c>
      <c r="AC133" s="119">
        <f t="shared" ca="1" si="209"/>
        <v>0</v>
      </c>
      <c r="AD133" s="115">
        <f t="shared" ca="1" si="386"/>
        <v>-1.3835616438356164</v>
      </c>
      <c r="AE133" s="115">
        <f t="shared" si="387"/>
        <v>20</v>
      </c>
      <c r="AF133" s="115"/>
      <c r="AG133" s="115"/>
      <c r="AH133" s="115">
        <f t="shared" si="246"/>
        <v>1.1937500000000001</v>
      </c>
      <c r="AI133" s="115"/>
      <c r="AJ133" s="115">
        <f t="shared" si="247"/>
        <v>0</v>
      </c>
      <c r="AK133" s="115"/>
      <c r="AL133" s="142"/>
      <c r="AM133" s="153"/>
      <c r="AN133" s="153"/>
      <c r="AO133" s="153"/>
      <c r="AP133" s="153"/>
      <c r="AQ133" s="153"/>
      <c r="AR133" s="153"/>
      <c r="AS133" s="153"/>
      <c r="AT133" s="153"/>
      <c r="AU133" s="153"/>
      <c r="AV133" s="153"/>
      <c r="AW133" s="153"/>
      <c r="AX133" s="153"/>
      <c r="AY133" s="153"/>
      <c r="AZ133" s="153"/>
      <c r="BA133" s="153"/>
      <c r="BB133" s="153"/>
      <c r="BC133" s="153"/>
      <c r="BD133" s="153"/>
      <c r="BE133" s="153"/>
      <c r="BF133" s="153"/>
      <c r="BG133" s="153"/>
      <c r="BS133" s="13">
        <v>2</v>
      </c>
      <c r="BT133" s="123">
        <v>44491</v>
      </c>
      <c r="BU133" s="116" t="s">
        <v>8</v>
      </c>
      <c r="BV133" s="115" t="s">
        <v>482</v>
      </c>
      <c r="BW133" s="116" t="s">
        <v>502</v>
      </c>
      <c r="BX133" s="115">
        <v>18400</v>
      </c>
      <c r="BY133" s="115">
        <v>41.7</v>
      </c>
      <c r="BZ133" s="115">
        <v>47.945</v>
      </c>
      <c r="CA133" s="119">
        <v>-3216.6708800000001</v>
      </c>
      <c r="CB133" s="115">
        <v>1.1497601918465228</v>
      </c>
      <c r="CC133" s="115">
        <v>500</v>
      </c>
      <c r="CD133" s="115">
        <v>50</v>
      </c>
      <c r="CE133" s="119">
        <v>20850</v>
      </c>
    </row>
    <row r="134" spans="1:83" hidden="1">
      <c r="A134" s="13">
        <f t="shared" si="244"/>
        <v>127</v>
      </c>
      <c r="B134" s="123">
        <v>44652</v>
      </c>
      <c r="C134" s="116" t="s">
        <v>8</v>
      </c>
      <c r="D134" s="116">
        <v>1</v>
      </c>
      <c r="E134" s="115" t="s">
        <v>481</v>
      </c>
      <c r="F134" s="116" t="s">
        <v>130</v>
      </c>
      <c r="G134" s="115">
        <v>290</v>
      </c>
      <c r="H134" s="117">
        <v>44679</v>
      </c>
      <c r="I134" s="115">
        <v>6750</v>
      </c>
      <c r="J134" s="115">
        <v>1.35</v>
      </c>
      <c r="K134" s="115">
        <v>15.15</v>
      </c>
      <c r="L134" s="119">
        <f t="shared" ca="1" si="212"/>
        <v>0</v>
      </c>
      <c r="M134" s="119">
        <f t="shared" si="213"/>
        <v>-93150</v>
      </c>
      <c r="N134" s="115">
        <f t="shared" si="381"/>
        <v>11.222222222222221</v>
      </c>
      <c r="O134" s="156">
        <f t="shared" si="382"/>
        <v>1.6875</v>
      </c>
      <c r="P134" s="160">
        <f t="shared" si="245"/>
        <v>9112.5</v>
      </c>
      <c r="Q134" s="160" t="e">
        <f t="shared" si="383"/>
        <v>#N/A</v>
      </c>
      <c r="R134" s="153" t="e">
        <f t="shared" ca="1" si="214"/>
        <v>#VALUE!</v>
      </c>
      <c r="S134" s="119">
        <f t="shared" si="384"/>
        <v>0.13499999999999998</v>
      </c>
      <c r="T134" s="115" t="e">
        <f>VLOOKUP(TRIM($F134),Reference!B:C,2,0)</f>
        <v>#VALUE!</v>
      </c>
      <c r="U134" s="170">
        <f t="shared" ca="1" si="385"/>
        <v>0</v>
      </c>
      <c r="V134" s="120" t="str">
        <f t="shared" si="204"/>
        <v>TATAPOWER22APR290CE</v>
      </c>
      <c r="W134" s="158" t="e">
        <f>VLOOKUP($V134,Reference!BA:BD,4,0)</f>
        <v>#N/A</v>
      </c>
      <c r="X134" s="160">
        <f t="shared" ca="1" si="205"/>
        <v>0</v>
      </c>
      <c r="Y134" s="160">
        <f t="shared" ca="1" si="206"/>
        <v>0</v>
      </c>
      <c r="Z134" s="160">
        <f t="shared" ca="1" si="215"/>
        <v>0</v>
      </c>
      <c r="AA134" s="160">
        <f t="shared" ca="1" si="207"/>
        <v>0</v>
      </c>
      <c r="AB134" s="160">
        <f t="shared" ca="1" si="208"/>
        <v>0</v>
      </c>
      <c r="AC134" s="119">
        <f t="shared" ca="1" si="209"/>
        <v>0</v>
      </c>
      <c r="AD134" s="115">
        <f t="shared" ca="1" si="386"/>
        <v>-1.3835616438356164</v>
      </c>
      <c r="AE134" s="115">
        <f t="shared" si="387"/>
        <v>20</v>
      </c>
      <c r="AF134" s="115"/>
      <c r="AG134" s="115"/>
      <c r="AH134" s="115">
        <f t="shared" si="246"/>
        <v>4.5562500000000004</v>
      </c>
      <c r="AI134" s="115"/>
      <c r="AJ134" s="115">
        <f t="shared" si="247"/>
        <v>0</v>
      </c>
      <c r="AK134" s="115"/>
      <c r="AL134" s="142"/>
      <c r="AM134" s="153"/>
      <c r="AN134" s="153"/>
      <c r="AO134" s="153"/>
      <c r="AP134" s="153"/>
      <c r="AQ134" s="153"/>
      <c r="AR134" s="153"/>
      <c r="AS134" s="153"/>
      <c r="AT134" s="153"/>
      <c r="AU134" s="153"/>
      <c r="AV134" s="153"/>
      <c r="AW134" s="153"/>
      <c r="AX134" s="153"/>
      <c r="AY134" s="153"/>
      <c r="AZ134" s="153"/>
      <c r="BA134" s="153"/>
      <c r="BB134" s="153"/>
      <c r="BC134" s="153"/>
      <c r="BD134" s="153"/>
      <c r="BE134" s="153"/>
      <c r="BF134" s="153"/>
      <c r="BG134" s="153"/>
      <c r="BS134" s="13">
        <v>2</v>
      </c>
      <c r="BT134" s="123">
        <v>44491</v>
      </c>
      <c r="BU134" s="116" t="s">
        <v>8</v>
      </c>
      <c r="BV134" s="115" t="s">
        <v>482</v>
      </c>
      <c r="BW134" s="116" t="s">
        <v>502</v>
      </c>
      <c r="BX134" s="115">
        <v>18400</v>
      </c>
      <c r="BY134" s="115">
        <v>41.7</v>
      </c>
      <c r="BZ134" s="115">
        <v>47.945</v>
      </c>
      <c r="CA134" s="119">
        <v>-3216.6708800000001</v>
      </c>
      <c r="CB134" s="115">
        <v>1.1497601918465228</v>
      </c>
      <c r="CC134" s="115">
        <v>500</v>
      </c>
      <c r="CD134" s="115">
        <v>50</v>
      </c>
      <c r="CE134" s="119">
        <v>20850</v>
      </c>
    </row>
    <row r="135" spans="1:83" hidden="1">
      <c r="A135" s="13">
        <f t="shared" si="244"/>
        <v>128</v>
      </c>
      <c r="B135" s="123">
        <v>44652</v>
      </c>
      <c r="C135" s="116" t="s">
        <v>8</v>
      </c>
      <c r="D135" s="116">
        <v>1</v>
      </c>
      <c r="E135" s="115" t="s">
        <v>481</v>
      </c>
      <c r="F135" s="116" t="s">
        <v>506</v>
      </c>
      <c r="G135" s="115">
        <v>40000</v>
      </c>
      <c r="H135" s="117">
        <v>44679</v>
      </c>
      <c r="I135" s="115">
        <v>50</v>
      </c>
      <c r="J135" s="115">
        <v>128.75</v>
      </c>
      <c r="K135" s="115">
        <v>3.2</v>
      </c>
      <c r="L135" s="119">
        <f t="shared" ca="1" si="212"/>
        <v>0</v>
      </c>
      <c r="M135" s="119">
        <f t="shared" si="213"/>
        <v>6277.5</v>
      </c>
      <c r="N135" s="115">
        <f t="shared" ref="N135:N138" si="388">K135/$J135</f>
        <v>2.4854368932038837E-2</v>
      </c>
      <c r="O135" s="156">
        <f t="shared" ref="O135:O138" si="389">J135*(1+$O$6*IF(C135="B",-1,1))</f>
        <v>160.9375</v>
      </c>
      <c r="P135" s="160">
        <f t="shared" si="245"/>
        <v>6437.5</v>
      </c>
      <c r="Q135" s="160" t="e">
        <f t="shared" ref="Q135:Q138" si="390">(W135-J135)*I135*IF(C135="B",1,-1)*IF(K135=0,1,0)</f>
        <v>#N/A</v>
      </c>
      <c r="R135" s="153" t="e">
        <f t="shared" ca="1" si="214"/>
        <v>#VALUE!</v>
      </c>
      <c r="S135" s="119">
        <f t="shared" ref="S135:S138" si="391">(1-$S$6)*J135</f>
        <v>12.874999999999996</v>
      </c>
      <c r="T135" s="115" t="str">
        <f>VLOOKUP(TRIM($F135),Reference!B:C,2,0)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35" s="170">
        <f t="shared" ref="U135:U138" ca="1" si="392">AC135</f>
        <v>0</v>
      </c>
      <c r="V135" s="120" t="str">
        <f t="shared" si="204"/>
        <v>BANKNIFTY22APR40000CE</v>
      </c>
      <c r="W135" s="158" t="e">
        <f>VLOOKUP($V135,Reference!BA:BD,4,0)</f>
        <v>#N/A</v>
      </c>
      <c r="X135" s="160">
        <f t="shared" ca="1" si="205"/>
        <v>0</v>
      </c>
      <c r="Y135" s="160">
        <f t="shared" ca="1" si="206"/>
        <v>0</v>
      </c>
      <c r="Z135" s="160">
        <f t="shared" ca="1" si="215"/>
        <v>0</v>
      </c>
      <c r="AA135" s="160">
        <f t="shared" ca="1" si="207"/>
        <v>0</v>
      </c>
      <c r="AB135" s="160">
        <f t="shared" ca="1" si="208"/>
        <v>0</v>
      </c>
      <c r="AC135" s="119">
        <f t="shared" ca="1" si="209"/>
        <v>0</v>
      </c>
      <c r="AD135" s="115">
        <f t="shared" ref="AD135:AD138" ca="1" si="393">(H135-TODAY())/365</f>
        <v>-1.3835616438356164</v>
      </c>
      <c r="AE135" s="115">
        <f t="shared" ref="AE135:AE138" si="394">IF(I135&lt;&gt;0,20,0)</f>
        <v>20</v>
      </c>
      <c r="AF135" s="115"/>
      <c r="AG135" s="115"/>
      <c r="AH135" s="115">
        <f t="shared" si="246"/>
        <v>3.21875</v>
      </c>
      <c r="AI135" s="115"/>
      <c r="AJ135" s="115">
        <f t="shared" si="247"/>
        <v>0</v>
      </c>
      <c r="AK135" s="115"/>
      <c r="AL135" s="142"/>
      <c r="AM135" s="153"/>
      <c r="AN135" s="153"/>
      <c r="AO135" s="153"/>
      <c r="AP135" s="153"/>
      <c r="AQ135" s="153"/>
      <c r="AR135" s="153"/>
      <c r="AS135" s="153"/>
      <c r="AT135" s="153"/>
      <c r="AU135" s="153"/>
      <c r="AV135" s="153"/>
      <c r="AW135" s="153"/>
      <c r="AX135" s="153"/>
      <c r="AY135" s="153"/>
      <c r="AZ135" s="153"/>
      <c r="BA135" s="153"/>
      <c r="BB135" s="153"/>
      <c r="BC135" s="153"/>
      <c r="BD135" s="153"/>
      <c r="BE135" s="153"/>
      <c r="BF135" s="153"/>
      <c r="BG135" s="153"/>
      <c r="BS135" s="13">
        <v>2</v>
      </c>
      <c r="BT135" s="123">
        <v>44491</v>
      </c>
      <c r="BU135" s="116" t="s">
        <v>8</v>
      </c>
      <c r="BV135" s="115" t="s">
        <v>482</v>
      </c>
      <c r="BW135" s="116" t="s">
        <v>502</v>
      </c>
      <c r="BX135" s="115">
        <v>18400</v>
      </c>
      <c r="BY135" s="115">
        <v>41.7</v>
      </c>
      <c r="BZ135" s="115">
        <v>47.945</v>
      </c>
      <c r="CA135" s="119">
        <v>-3216.6708800000001</v>
      </c>
      <c r="CB135" s="115">
        <v>1.1497601918465228</v>
      </c>
      <c r="CC135" s="115">
        <v>500</v>
      </c>
      <c r="CD135" s="115">
        <v>50</v>
      </c>
      <c r="CE135" s="119">
        <v>20850</v>
      </c>
    </row>
    <row r="136" spans="1:83" hidden="1">
      <c r="A136" s="13">
        <f t="shared" si="244"/>
        <v>129</v>
      </c>
      <c r="B136" s="123">
        <v>44652</v>
      </c>
      <c r="C136" s="116" t="s">
        <v>6</v>
      </c>
      <c r="D136" s="116">
        <v>1</v>
      </c>
      <c r="E136" s="115" t="s">
        <v>632</v>
      </c>
      <c r="F136" s="116" t="s">
        <v>506</v>
      </c>
      <c r="G136" s="115"/>
      <c r="H136" s="117">
        <v>44679</v>
      </c>
      <c r="I136" s="115">
        <v>50</v>
      </c>
      <c r="J136" s="115">
        <v>37157.65</v>
      </c>
      <c r="K136" s="115">
        <v>36085</v>
      </c>
      <c r="L136" s="119">
        <f t="shared" ca="1" si="212"/>
        <v>0</v>
      </c>
      <c r="M136" s="119">
        <f t="shared" si="213"/>
        <v>-53632.500000000073</v>
      </c>
      <c r="N136" s="115">
        <f t="shared" si="388"/>
        <v>0.97113245859197228</v>
      </c>
      <c r="O136" s="156">
        <f t="shared" si="389"/>
        <v>27868.237500000003</v>
      </c>
      <c r="P136" s="160">
        <f t="shared" si="245"/>
        <v>1857882.5</v>
      </c>
      <c r="Q136" s="160" t="e">
        <f t="shared" si="390"/>
        <v>#N/A</v>
      </c>
      <c r="R136" s="153" t="e">
        <f t="shared" ca="1" si="214"/>
        <v>#VALUE!</v>
      </c>
      <c r="S136" s="119">
        <f t="shared" si="391"/>
        <v>3715.7649999999994</v>
      </c>
      <c r="T136" s="115" t="str">
        <f>VLOOKUP(TRIM($F136),Reference!B:C,2,0)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36" s="170">
        <f t="shared" ca="1" si="392"/>
        <v>0</v>
      </c>
      <c r="V136" s="120" t="str">
        <f t="shared" ref="V136:V199" si="395">TRIM(F136)&amp;TEXT(H136,"YY")&amp;UPPER(TEXT(H136,"MMM"))&amp;TRIM(G136)&amp;TRIM(E136)</f>
        <v>BANKNIFTY22APRFUT</v>
      </c>
      <c r="W136" s="158" t="e">
        <f>VLOOKUP($V136,Reference!BA:BD,4,0)</f>
        <v>#N/A</v>
      </c>
      <c r="X136" s="160">
        <f t="shared" ref="X136:X199" ca="1" si="396">IF(OR($AD136&lt;0,$K136&lt;&gt;0),0,IF($E136="FUT",W136,OptionPrice(LEFT($E136),$T136,$G136,$AD136,RISKFREE_RATE,$U136,NIFTY_DIVYLD))*IF(C136="B",1,-1)*IF(I136=0,0,1)*IF(K136=0,1,0)*I136)</f>
        <v>0</v>
      </c>
      <c r="Y136" s="160">
        <f t="shared" ref="Y136:Y199" ca="1" si="397">IF(OR($AD136&lt;0,$K136&lt;&gt;0),0,IF($E136="FUT",1,OptionDelta(LEFT(E136),T136,G136,AD136,RISKFREE_RATE,U136,NIFTY_DIVYLD)))</f>
        <v>0</v>
      </c>
      <c r="Z136" s="160">
        <f t="shared" ca="1" si="215"/>
        <v>0</v>
      </c>
      <c r="AA136" s="160">
        <f t="shared" ref="AA136:AA199" ca="1" si="398">IF(OR($AD136&lt;0,$K136&lt;&gt;0),0,IF($E136="FUT",0,OptionTheta(LEFT(E136),T136,G136,AD136,RISKFREE_RATE,U136,NIFTY_DIVYLD))*IF(C136="B",1,-1)*IF(I136=0,0,1)*IF(K136=0,1,0)*I136)</f>
        <v>0</v>
      </c>
      <c r="AB136" s="160">
        <f t="shared" ref="AB136:AB199" ca="1" si="399">IF(OR($AD136&lt;0,$K136&lt;&gt;0),0,IF($E136="FUT",0,OptionGamma(T136,G136,AD136,RISKFREE_RATE,U136,NIFTY_DIVYLD))*IF(C136="B",1,-1)*IF(I136=0,0,1)*IF(K136=0,1,0))</f>
        <v>0</v>
      </c>
      <c r="AC136" s="119">
        <f t="shared" ref="AC136:AC199" ca="1" si="400">IF(OR($AD136&lt;0,$K136&lt;&gt;0),0,IF($E136="FUT",0,ImpliedVolatility(LEFT(E136),T136,G136,RISKFREE_RATE,AD136,NIFTY_DIVYLD,W136,$AC$6)))</f>
        <v>0</v>
      </c>
      <c r="AD136" s="115">
        <f t="shared" ca="1" si="393"/>
        <v>-1.3835616438356164</v>
      </c>
      <c r="AE136" s="115">
        <f t="shared" si="394"/>
        <v>20</v>
      </c>
      <c r="AF136" s="115"/>
      <c r="AG136" s="115"/>
      <c r="AH136" s="115">
        <f t="shared" si="246"/>
        <v>0</v>
      </c>
      <c r="AI136" s="115"/>
      <c r="AJ136" s="115">
        <f t="shared" si="247"/>
        <v>55.736474999999999</v>
      </c>
      <c r="AK136" s="115"/>
      <c r="AL136" s="142"/>
      <c r="AM136" s="153"/>
      <c r="AN136" s="153"/>
      <c r="AO136" s="153"/>
      <c r="AP136" s="153"/>
      <c r="AQ136" s="153"/>
      <c r="AR136" s="153"/>
      <c r="AS136" s="153"/>
      <c r="AT136" s="153"/>
      <c r="AU136" s="153"/>
      <c r="AV136" s="153"/>
      <c r="AW136" s="153"/>
      <c r="AX136" s="153"/>
      <c r="AY136" s="153"/>
      <c r="AZ136" s="153"/>
      <c r="BA136" s="153"/>
      <c r="BB136" s="153"/>
      <c r="BC136" s="153"/>
      <c r="BD136" s="153"/>
      <c r="BE136" s="153"/>
      <c r="BF136" s="153"/>
      <c r="BG136" s="153"/>
      <c r="BS136" s="13">
        <v>2</v>
      </c>
      <c r="BT136" s="123">
        <v>44491</v>
      </c>
      <c r="BU136" s="116" t="s">
        <v>8</v>
      </c>
      <c r="BV136" s="115" t="s">
        <v>482</v>
      </c>
      <c r="BW136" s="116" t="s">
        <v>502</v>
      </c>
      <c r="BX136" s="115">
        <v>18400</v>
      </c>
      <c r="BY136" s="115">
        <v>41.7</v>
      </c>
      <c r="BZ136" s="115">
        <v>47.945</v>
      </c>
      <c r="CA136" s="119">
        <v>-3216.6708800000001</v>
      </c>
      <c r="CB136" s="115">
        <v>1.1497601918465228</v>
      </c>
      <c r="CC136" s="115">
        <v>500</v>
      </c>
      <c r="CD136" s="115">
        <v>50</v>
      </c>
      <c r="CE136" s="119">
        <v>20850</v>
      </c>
    </row>
    <row r="137" spans="1:83" hidden="1">
      <c r="A137" s="13">
        <f t="shared" si="244"/>
        <v>130</v>
      </c>
      <c r="B137" s="123">
        <v>44652</v>
      </c>
      <c r="C137" s="116" t="s">
        <v>6</v>
      </c>
      <c r="D137" s="116">
        <v>1</v>
      </c>
      <c r="E137" s="115" t="s">
        <v>632</v>
      </c>
      <c r="F137" s="116" t="s">
        <v>130</v>
      </c>
      <c r="G137" s="115"/>
      <c r="H137" s="117">
        <v>44679</v>
      </c>
      <c r="I137" s="115">
        <v>13500</v>
      </c>
      <c r="J137" s="115">
        <v>246.5</v>
      </c>
      <c r="K137" s="115">
        <v>285.55</v>
      </c>
      <c r="L137" s="119">
        <f t="shared" ref="L137:L153" ca="1" si="401">IF(AND(K137&lt;&gt;0,I137&lt;&gt;0),(IF(C137="B",1,-1))*(K137-J137)*I137-AK137*2,0)*$D137*IF(MONTH($B$2)=MONTH($H137),1,0)</f>
        <v>0</v>
      </c>
      <c r="M137" s="119">
        <f t="shared" ref="M137:M153" si="402">IF(AND(K137&lt;&gt;0,I137&lt;&gt;0),(IF(C137="B",1,-1))*(K137-J137)*I137-AK137*2,0)*$D137</f>
        <v>527175.00000000012</v>
      </c>
      <c r="N137" s="115">
        <f t="shared" si="388"/>
        <v>1.1584178498985802</v>
      </c>
      <c r="O137" s="156">
        <f t="shared" si="389"/>
        <v>184.875</v>
      </c>
      <c r="P137" s="160">
        <f t="shared" si="245"/>
        <v>3327750</v>
      </c>
      <c r="Q137" s="160" t="e">
        <f t="shared" si="390"/>
        <v>#N/A</v>
      </c>
      <c r="R137" s="153" t="e">
        <f t="shared" ref="R137:R200" ca="1" si="403">Z137*T137</f>
        <v>#VALUE!</v>
      </c>
      <c r="S137" s="119">
        <f t="shared" si="391"/>
        <v>24.649999999999995</v>
      </c>
      <c r="T137" s="115" t="e">
        <f>VLOOKUP(TRIM($F137),Reference!B:C,2,0)</f>
        <v>#VALUE!</v>
      </c>
      <c r="U137" s="170">
        <f t="shared" ca="1" si="392"/>
        <v>0</v>
      </c>
      <c r="V137" s="120" t="str">
        <f t="shared" si="395"/>
        <v>TATAPOWER22APRFUT</v>
      </c>
      <c r="W137" s="158" t="e">
        <f>VLOOKUP($V137,Reference!BA:BD,4,0)</f>
        <v>#N/A</v>
      </c>
      <c r="X137" s="160">
        <f t="shared" ca="1" si="396"/>
        <v>0</v>
      </c>
      <c r="Y137" s="160">
        <f t="shared" ca="1" si="397"/>
        <v>0</v>
      </c>
      <c r="Z137" s="160">
        <f t="shared" ref="Z137:Z200" ca="1" si="404">Y137*IF(C137="B",1,-1)*IF(I137=0,0,1)*IF(K137=0,1,0)*I137</f>
        <v>0</v>
      </c>
      <c r="AA137" s="160">
        <f t="shared" ca="1" si="398"/>
        <v>0</v>
      </c>
      <c r="AB137" s="160">
        <f t="shared" ca="1" si="399"/>
        <v>0</v>
      </c>
      <c r="AC137" s="119">
        <f t="shared" ca="1" si="400"/>
        <v>0</v>
      </c>
      <c r="AD137" s="115">
        <f t="shared" ca="1" si="393"/>
        <v>-1.3835616438356164</v>
      </c>
      <c r="AE137" s="115">
        <f t="shared" si="394"/>
        <v>20</v>
      </c>
      <c r="AF137" s="115"/>
      <c r="AG137" s="115"/>
      <c r="AH137" s="115">
        <f t="shared" si="246"/>
        <v>0</v>
      </c>
      <c r="AI137" s="115"/>
      <c r="AJ137" s="115">
        <f t="shared" si="247"/>
        <v>99.832499999999996</v>
      </c>
      <c r="AK137" s="115"/>
      <c r="AL137" s="142"/>
      <c r="AM137" s="153"/>
      <c r="AN137" s="153"/>
      <c r="AO137" s="153"/>
      <c r="AP137" s="153"/>
      <c r="AQ137" s="153"/>
      <c r="AR137" s="153"/>
      <c r="AS137" s="153"/>
      <c r="AT137" s="153"/>
      <c r="AU137" s="153"/>
      <c r="AV137" s="153"/>
      <c r="AW137" s="153"/>
      <c r="AX137" s="153"/>
      <c r="AY137" s="153"/>
      <c r="AZ137" s="153"/>
      <c r="BA137" s="153"/>
      <c r="BB137" s="153"/>
      <c r="BC137" s="153"/>
      <c r="BD137" s="153"/>
      <c r="BE137" s="153"/>
      <c r="BF137" s="153"/>
      <c r="BG137" s="153"/>
      <c r="BS137" s="13">
        <v>2</v>
      </c>
      <c r="BT137" s="123">
        <v>44491</v>
      </c>
      <c r="BU137" s="116" t="s">
        <v>8</v>
      </c>
      <c r="BV137" s="115" t="s">
        <v>482</v>
      </c>
      <c r="BW137" s="116" t="s">
        <v>502</v>
      </c>
      <c r="BX137" s="115">
        <v>18400</v>
      </c>
      <c r="BY137" s="115">
        <v>41.7</v>
      </c>
      <c r="BZ137" s="115">
        <v>47.945</v>
      </c>
      <c r="CA137" s="119">
        <v>-3216.6708800000001</v>
      </c>
      <c r="CB137" s="115">
        <v>1.1497601918465228</v>
      </c>
      <c r="CC137" s="115">
        <v>500</v>
      </c>
      <c r="CD137" s="115">
        <v>50</v>
      </c>
      <c r="CE137" s="119">
        <v>20850</v>
      </c>
    </row>
    <row r="138" spans="1:83" hidden="1">
      <c r="A138" s="13">
        <f t="shared" si="244"/>
        <v>131</v>
      </c>
      <c r="B138" s="123">
        <v>44655</v>
      </c>
      <c r="C138" s="116" t="s">
        <v>8</v>
      </c>
      <c r="D138" s="116">
        <v>1</v>
      </c>
      <c r="E138" s="115" t="s">
        <v>481</v>
      </c>
      <c r="F138" s="116" t="s">
        <v>506</v>
      </c>
      <c r="G138" s="115">
        <v>40000</v>
      </c>
      <c r="H138" s="117">
        <v>44679</v>
      </c>
      <c r="I138" s="115">
        <v>25</v>
      </c>
      <c r="J138" s="115">
        <v>338.75</v>
      </c>
      <c r="K138" s="115">
        <v>3.2</v>
      </c>
      <c r="L138" s="119">
        <f t="shared" ca="1" si="401"/>
        <v>0</v>
      </c>
      <c r="M138" s="119">
        <f t="shared" si="402"/>
        <v>8388.75</v>
      </c>
      <c r="N138" s="115">
        <f t="shared" si="388"/>
        <v>9.4464944649446502E-3</v>
      </c>
      <c r="O138" s="156">
        <f t="shared" si="389"/>
        <v>423.4375</v>
      </c>
      <c r="P138" s="160">
        <f t="shared" si="245"/>
        <v>8468.75</v>
      </c>
      <c r="Q138" s="160" t="e">
        <f t="shared" si="390"/>
        <v>#N/A</v>
      </c>
      <c r="R138" s="153" t="e">
        <f t="shared" ca="1" si="403"/>
        <v>#VALUE!</v>
      </c>
      <c r="S138" s="119">
        <f t="shared" si="391"/>
        <v>33.874999999999993</v>
      </c>
      <c r="T138" s="115" t="str">
        <f>VLOOKUP(TRIM($F138),Reference!B:C,2,0)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38" s="170">
        <f t="shared" ca="1" si="392"/>
        <v>0</v>
      </c>
      <c r="V138" s="120" t="str">
        <f t="shared" si="395"/>
        <v>BANKNIFTY22APR40000CE</v>
      </c>
      <c r="W138" s="158" t="e">
        <f>VLOOKUP($V138,Reference!BA:BD,4,0)</f>
        <v>#N/A</v>
      </c>
      <c r="X138" s="160">
        <f t="shared" ca="1" si="396"/>
        <v>0</v>
      </c>
      <c r="Y138" s="160">
        <f t="shared" ca="1" si="397"/>
        <v>0</v>
      </c>
      <c r="Z138" s="160">
        <f t="shared" ca="1" si="404"/>
        <v>0</v>
      </c>
      <c r="AA138" s="160">
        <f t="shared" ca="1" si="398"/>
        <v>0</v>
      </c>
      <c r="AB138" s="160">
        <f t="shared" ca="1" si="399"/>
        <v>0</v>
      </c>
      <c r="AC138" s="119">
        <f t="shared" ca="1" si="400"/>
        <v>0</v>
      </c>
      <c r="AD138" s="115">
        <f t="shared" ca="1" si="393"/>
        <v>-1.3835616438356164</v>
      </c>
      <c r="AE138" s="115">
        <f t="shared" si="394"/>
        <v>20</v>
      </c>
      <c r="AF138" s="115"/>
      <c r="AG138" s="115"/>
      <c r="AH138" s="115">
        <f t="shared" si="246"/>
        <v>4.234375</v>
      </c>
      <c r="AI138" s="115"/>
      <c r="AJ138" s="115">
        <f t="shared" si="247"/>
        <v>0</v>
      </c>
      <c r="AK138" s="115"/>
      <c r="AL138" s="142"/>
      <c r="AM138" s="153"/>
      <c r="AN138" s="153"/>
      <c r="AO138" s="153"/>
      <c r="AP138" s="153"/>
      <c r="AQ138" s="153"/>
      <c r="AR138" s="153"/>
      <c r="AS138" s="153"/>
      <c r="AT138" s="153"/>
      <c r="AU138" s="153"/>
      <c r="AV138" s="153"/>
      <c r="AW138" s="153"/>
      <c r="AX138" s="153"/>
      <c r="AY138" s="153"/>
      <c r="AZ138" s="153"/>
      <c r="BA138" s="153"/>
      <c r="BB138" s="153"/>
      <c r="BC138" s="153"/>
      <c r="BD138" s="153"/>
      <c r="BE138" s="153"/>
      <c r="BF138" s="153"/>
      <c r="BG138" s="153"/>
      <c r="BS138" s="13">
        <v>2</v>
      </c>
      <c r="BT138" s="123">
        <v>44491</v>
      </c>
      <c r="BU138" s="116" t="s">
        <v>8</v>
      </c>
      <c r="BV138" s="115" t="s">
        <v>482</v>
      </c>
      <c r="BW138" s="116" t="s">
        <v>502</v>
      </c>
      <c r="BX138" s="115">
        <v>18400</v>
      </c>
      <c r="BY138" s="115">
        <v>41.7</v>
      </c>
      <c r="BZ138" s="115">
        <v>47.945</v>
      </c>
      <c r="CA138" s="119">
        <v>-3216.6708800000001</v>
      </c>
      <c r="CB138" s="115">
        <v>1.1497601918465228</v>
      </c>
      <c r="CC138" s="115">
        <v>500</v>
      </c>
      <c r="CD138" s="115">
        <v>50</v>
      </c>
      <c r="CE138" s="119">
        <v>20850</v>
      </c>
    </row>
    <row r="139" spans="1:83" hidden="1">
      <c r="A139" s="13">
        <f t="shared" si="244"/>
        <v>132</v>
      </c>
      <c r="B139" s="123">
        <v>44655</v>
      </c>
      <c r="C139" s="116" t="s">
        <v>6</v>
      </c>
      <c r="D139" s="116">
        <v>1</v>
      </c>
      <c r="E139" s="115" t="s">
        <v>632</v>
      </c>
      <c r="F139" s="116" t="s">
        <v>506</v>
      </c>
      <c r="G139" s="115"/>
      <c r="H139" s="117">
        <v>44679</v>
      </c>
      <c r="I139" s="115">
        <v>25</v>
      </c>
      <c r="J139" s="115">
        <v>38638.15</v>
      </c>
      <c r="K139" s="115">
        <v>36085</v>
      </c>
      <c r="L139" s="119">
        <f t="shared" ca="1" si="401"/>
        <v>0</v>
      </c>
      <c r="M139" s="119">
        <f t="shared" si="402"/>
        <v>-63828.750000000036</v>
      </c>
      <c r="N139" s="115">
        <f t="shared" ref="N139:N142" si="405">K139/$J139</f>
        <v>0.93392152574592724</v>
      </c>
      <c r="O139" s="156">
        <f t="shared" ref="O139:O142" si="406">J139*(1+$O$6*IF(C139="B",-1,1))</f>
        <v>28978.612500000003</v>
      </c>
      <c r="P139" s="160">
        <f t="shared" si="245"/>
        <v>965953.75</v>
      </c>
      <c r="Q139" s="160" t="e">
        <f t="shared" ref="Q139:Q142" si="407">(W139-J139)*I139*IF(C139="B",1,-1)*IF(K139=0,1,0)</f>
        <v>#N/A</v>
      </c>
      <c r="R139" s="153" t="e">
        <f t="shared" ca="1" si="403"/>
        <v>#VALUE!</v>
      </c>
      <c r="S139" s="119">
        <f t="shared" ref="S139:S142" si="408">(1-$S$6)*J139</f>
        <v>3863.8149999999991</v>
      </c>
      <c r="T139" s="115" t="str">
        <f>VLOOKUP(TRIM($F139),Reference!B:C,2,0)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39" s="170">
        <f t="shared" ref="U139:U142" ca="1" si="409">AC139</f>
        <v>0</v>
      </c>
      <c r="V139" s="120" t="str">
        <f t="shared" si="395"/>
        <v>BANKNIFTY22APRFUT</v>
      </c>
      <c r="W139" s="158" t="e">
        <f>VLOOKUP($V139,Reference!BA:BD,4,0)</f>
        <v>#N/A</v>
      </c>
      <c r="X139" s="160">
        <f t="shared" ca="1" si="396"/>
        <v>0</v>
      </c>
      <c r="Y139" s="160">
        <f t="shared" ca="1" si="397"/>
        <v>0</v>
      </c>
      <c r="Z139" s="160">
        <f t="shared" ca="1" si="404"/>
        <v>0</v>
      </c>
      <c r="AA139" s="160">
        <f t="shared" ca="1" si="398"/>
        <v>0</v>
      </c>
      <c r="AB139" s="160">
        <f t="shared" ca="1" si="399"/>
        <v>0</v>
      </c>
      <c r="AC139" s="119">
        <f t="shared" ca="1" si="400"/>
        <v>0</v>
      </c>
      <c r="AD139" s="115">
        <f t="shared" ref="AD139:AD142" ca="1" si="410">(H139-TODAY())/365</f>
        <v>-1.3835616438356164</v>
      </c>
      <c r="AE139" s="115">
        <f t="shared" ref="AE139:AE142" si="411">IF(I139&lt;&gt;0,20,0)</f>
        <v>20</v>
      </c>
      <c r="AF139" s="115"/>
      <c r="AG139" s="115"/>
      <c r="AH139" s="115">
        <f t="shared" si="246"/>
        <v>0</v>
      </c>
      <c r="AI139" s="115"/>
      <c r="AJ139" s="115">
        <f t="shared" si="247"/>
        <v>28.978612500000001</v>
      </c>
      <c r="AK139" s="115"/>
      <c r="AL139" s="142"/>
      <c r="AM139" s="153"/>
      <c r="AN139" s="153"/>
      <c r="AO139" s="153"/>
      <c r="AP139" s="153"/>
      <c r="AQ139" s="153"/>
      <c r="AR139" s="153"/>
      <c r="AS139" s="153"/>
      <c r="AT139" s="153"/>
      <c r="AU139" s="153"/>
      <c r="AV139" s="153"/>
      <c r="AW139" s="153"/>
      <c r="AX139" s="153"/>
      <c r="AY139" s="153"/>
      <c r="AZ139" s="153"/>
      <c r="BA139" s="153"/>
      <c r="BB139" s="153"/>
      <c r="BC139" s="153"/>
      <c r="BD139" s="153"/>
      <c r="BE139" s="153"/>
      <c r="BF139" s="153"/>
      <c r="BG139" s="153"/>
      <c r="BS139" s="13">
        <v>2</v>
      </c>
      <c r="BT139" s="123">
        <v>44491</v>
      </c>
      <c r="BU139" s="116" t="s">
        <v>8</v>
      </c>
      <c r="BV139" s="115" t="s">
        <v>482</v>
      </c>
      <c r="BW139" s="116" t="s">
        <v>502</v>
      </c>
      <c r="BX139" s="115">
        <v>18400</v>
      </c>
      <c r="BY139" s="115">
        <v>41.7</v>
      </c>
      <c r="BZ139" s="115">
        <v>47.945</v>
      </c>
      <c r="CA139" s="119">
        <v>-3216.6708800000001</v>
      </c>
      <c r="CB139" s="115">
        <v>1.1497601918465228</v>
      </c>
      <c r="CC139" s="115">
        <v>500</v>
      </c>
      <c r="CD139" s="115">
        <v>50</v>
      </c>
      <c r="CE139" s="119">
        <v>20850</v>
      </c>
    </row>
    <row r="140" spans="1:83" hidden="1">
      <c r="A140" s="13">
        <f t="shared" si="244"/>
        <v>133</v>
      </c>
      <c r="B140" s="123">
        <v>44655</v>
      </c>
      <c r="C140" s="116" t="s">
        <v>6</v>
      </c>
      <c r="D140" s="116">
        <v>1</v>
      </c>
      <c r="E140" s="115" t="s">
        <v>482</v>
      </c>
      <c r="F140" s="116" t="s">
        <v>506</v>
      </c>
      <c r="G140" s="115">
        <v>38000</v>
      </c>
      <c r="H140" s="117">
        <v>44679</v>
      </c>
      <c r="I140" s="115">
        <v>25</v>
      </c>
      <c r="J140" s="115">
        <v>664.85</v>
      </c>
      <c r="K140" s="115">
        <v>1718.2</v>
      </c>
      <c r="L140" s="119">
        <f t="shared" ca="1" si="401"/>
        <v>0</v>
      </c>
      <c r="M140" s="119">
        <f t="shared" si="402"/>
        <v>26333.749999999996</v>
      </c>
      <c r="N140" s="115">
        <f t="shared" si="405"/>
        <v>2.5843423328570352</v>
      </c>
      <c r="O140" s="156">
        <f t="shared" si="406"/>
        <v>498.63750000000005</v>
      </c>
      <c r="P140" s="160">
        <f t="shared" si="245"/>
        <v>16621.25</v>
      </c>
      <c r="Q140" s="160" t="e">
        <f t="shared" si="407"/>
        <v>#N/A</v>
      </c>
      <c r="R140" s="153" t="e">
        <f t="shared" ca="1" si="403"/>
        <v>#VALUE!</v>
      </c>
      <c r="S140" s="119">
        <f t="shared" si="408"/>
        <v>66.484999999999985</v>
      </c>
      <c r="T140" s="115" t="str">
        <f>VLOOKUP(TRIM($F140),Reference!B:C,2,0)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40" s="170">
        <f t="shared" ca="1" si="409"/>
        <v>0</v>
      </c>
      <c r="V140" s="120" t="str">
        <f t="shared" si="395"/>
        <v>BANKNIFTY22APR38000PE</v>
      </c>
      <c r="W140" s="158" t="e">
        <f>VLOOKUP($V140,Reference!BA:BD,4,0)</f>
        <v>#N/A</v>
      </c>
      <c r="X140" s="160">
        <f t="shared" ca="1" si="396"/>
        <v>0</v>
      </c>
      <c r="Y140" s="160">
        <f t="shared" ca="1" si="397"/>
        <v>0</v>
      </c>
      <c r="Z140" s="160">
        <f t="shared" ca="1" si="404"/>
        <v>0</v>
      </c>
      <c r="AA140" s="160">
        <f t="shared" ca="1" si="398"/>
        <v>0</v>
      </c>
      <c r="AB140" s="160">
        <f t="shared" ca="1" si="399"/>
        <v>0</v>
      </c>
      <c r="AC140" s="119">
        <f t="shared" ca="1" si="400"/>
        <v>0</v>
      </c>
      <c r="AD140" s="115">
        <f t="shared" ca="1" si="410"/>
        <v>-1.3835616438356164</v>
      </c>
      <c r="AE140" s="115">
        <f t="shared" si="411"/>
        <v>20</v>
      </c>
      <c r="AF140" s="115"/>
      <c r="AG140" s="115"/>
      <c r="AH140" s="115">
        <f t="shared" si="246"/>
        <v>0</v>
      </c>
      <c r="AI140" s="115"/>
      <c r="AJ140" s="115">
        <f t="shared" si="247"/>
        <v>0.49863750000000001</v>
      </c>
      <c r="AK140" s="115"/>
      <c r="AL140" s="142"/>
      <c r="AM140" s="153"/>
      <c r="AN140" s="153"/>
      <c r="AO140" s="153"/>
      <c r="AP140" s="153"/>
      <c r="AQ140" s="153"/>
      <c r="AR140" s="153"/>
      <c r="AS140" s="153"/>
      <c r="AT140" s="153"/>
      <c r="AU140" s="153"/>
      <c r="AV140" s="153"/>
      <c r="AW140" s="153"/>
      <c r="AX140" s="153"/>
      <c r="AY140" s="153"/>
      <c r="AZ140" s="153"/>
      <c r="BA140" s="153"/>
      <c r="BB140" s="153"/>
      <c r="BC140" s="153"/>
      <c r="BD140" s="153"/>
      <c r="BE140" s="153"/>
      <c r="BF140" s="153"/>
      <c r="BG140" s="153"/>
      <c r="BS140" s="13">
        <v>2</v>
      </c>
      <c r="BT140" s="123">
        <v>44491</v>
      </c>
      <c r="BU140" s="116" t="s">
        <v>8</v>
      </c>
      <c r="BV140" s="115" t="s">
        <v>482</v>
      </c>
      <c r="BW140" s="116" t="s">
        <v>502</v>
      </c>
      <c r="BX140" s="115">
        <v>18400</v>
      </c>
      <c r="BY140" s="115">
        <v>41.7</v>
      </c>
      <c r="BZ140" s="115">
        <v>47.945</v>
      </c>
      <c r="CA140" s="119">
        <v>-3216.6708800000001</v>
      </c>
      <c r="CB140" s="115">
        <v>1.1497601918465228</v>
      </c>
      <c r="CC140" s="115">
        <v>500</v>
      </c>
      <c r="CD140" s="115">
        <v>50</v>
      </c>
      <c r="CE140" s="119">
        <v>20850</v>
      </c>
    </row>
    <row r="141" spans="1:83" hidden="1">
      <c r="A141" s="13">
        <f t="shared" si="244"/>
        <v>134</v>
      </c>
      <c r="B141" s="123">
        <v>44656</v>
      </c>
      <c r="C141" s="116" t="s">
        <v>6</v>
      </c>
      <c r="D141" s="116">
        <v>1</v>
      </c>
      <c r="E141" s="115" t="s">
        <v>632</v>
      </c>
      <c r="F141" s="116" t="s">
        <v>130</v>
      </c>
      <c r="G141" s="115"/>
      <c r="H141" s="117">
        <v>44679</v>
      </c>
      <c r="I141" s="115">
        <v>6750</v>
      </c>
      <c r="J141" s="115">
        <v>271.8</v>
      </c>
      <c r="K141" s="115">
        <v>276.95</v>
      </c>
      <c r="L141" s="119">
        <f t="shared" ca="1" si="401"/>
        <v>0</v>
      </c>
      <c r="M141" s="119">
        <f t="shared" si="402"/>
        <v>34762.499999999847</v>
      </c>
      <c r="N141" s="115">
        <f t="shared" si="405"/>
        <v>1.0189477557027224</v>
      </c>
      <c r="O141" s="156">
        <f t="shared" si="406"/>
        <v>203.85000000000002</v>
      </c>
      <c r="P141" s="160">
        <f t="shared" si="245"/>
        <v>1834650</v>
      </c>
      <c r="Q141" s="160" t="e">
        <f t="shared" si="407"/>
        <v>#N/A</v>
      </c>
      <c r="R141" s="153" t="e">
        <f t="shared" ca="1" si="403"/>
        <v>#VALUE!</v>
      </c>
      <c r="S141" s="119">
        <f t="shared" si="408"/>
        <v>27.179999999999996</v>
      </c>
      <c r="T141" s="115" t="e">
        <f>VLOOKUP(TRIM($F141),Reference!B:C,2,0)</f>
        <v>#VALUE!</v>
      </c>
      <c r="U141" s="170">
        <f t="shared" ca="1" si="409"/>
        <v>0</v>
      </c>
      <c r="V141" s="120" t="str">
        <f t="shared" si="395"/>
        <v>TATAPOWER22APRFUT</v>
      </c>
      <c r="W141" s="158" t="e">
        <f>VLOOKUP($V141,Reference!BA:BD,4,0)</f>
        <v>#N/A</v>
      </c>
      <c r="X141" s="160">
        <f t="shared" ca="1" si="396"/>
        <v>0</v>
      </c>
      <c r="Y141" s="160">
        <f t="shared" ca="1" si="397"/>
        <v>0</v>
      </c>
      <c r="Z141" s="160">
        <f t="shared" ca="1" si="404"/>
        <v>0</v>
      </c>
      <c r="AA141" s="160">
        <f t="shared" ca="1" si="398"/>
        <v>0</v>
      </c>
      <c r="AB141" s="160">
        <f t="shared" ca="1" si="399"/>
        <v>0</v>
      </c>
      <c r="AC141" s="119">
        <f t="shared" ca="1" si="400"/>
        <v>0</v>
      </c>
      <c r="AD141" s="115">
        <f t="shared" ca="1" si="410"/>
        <v>-1.3835616438356164</v>
      </c>
      <c r="AE141" s="115">
        <f t="shared" si="411"/>
        <v>20</v>
      </c>
      <c r="AF141" s="115"/>
      <c r="AG141" s="115"/>
      <c r="AH141" s="115">
        <f t="shared" si="246"/>
        <v>0</v>
      </c>
      <c r="AI141" s="115"/>
      <c r="AJ141" s="115">
        <f t="shared" si="247"/>
        <v>55.039500000000004</v>
      </c>
      <c r="AK141" s="115"/>
      <c r="AL141" s="142"/>
      <c r="AM141" s="153"/>
      <c r="AN141" s="153"/>
      <c r="AO141" s="153"/>
      <c r="AP141" s="153"/>
      <c r="AQ141" s="153"/>
      <c r="AR141" s="153"/>
      <c r="AS141" s="153"/>
      <c r="AT141" s="153"/>
      <c r="AU141" s="153"/>
      <c r="AV141" s="153"/>
      <c r="AW141" s="153"/>
      <c r="AX141" s="153"/>
      <c r="AY141" s="153"/>
      <c r="AZ141" s="153"/>
      <c r="BA141" s="153"/>
      <c r="BB141" s="153"/>
      <c r="BC141" s="153"/>
      <c r="BD141" s="153"/>
      <c r="BE141" s="153"/>
      <c r="BF141" s="153"/>
      <c r="BG141" s="153"/>
      <c r="BS141" s="13">
        <v>2</v>
      </c>
      <c r="BT141" s="123">
        <v>44491</v>
      </c>
      <c r="BU141" s="116" t="s">
        <v>8</v>
      </c>
      <c r="BV141" s="115" t="s">
        <v>482</v>
      </c>
      <c r="BW141" s="116" t="s">
        <v>502</v>
      </c>
      <c r="BX141" s="115">
        <v>18400</v>
      </c>
      <c r="BY141" s="115">
        <v>41.7</v>
      </c>
      <c r="BZ141" s="115">
        <v>47.945</v>
      </c>
      <c r="CA141" s="119">
        <v>-3216.6708800000001</v>
      </c>
      <c r="CB141" s="115">
        <v>1.1497601918465228</v>
      </c>
      <c r="CC141" s="115">
        <v>500</v>
      </c>
      <c r="CD141" s="115">
        <v>50</v>
      </c>
      <c r="CE141" s="119">
        <v>20850</v>
      </c>
    </row>
    <row r="142" spans="1:83" hidden="1">
      <c r="A142" s="13">
        <f t="shared" si="244"/>
        <v>135</v>
      </c>
      <c r="B142" s="123">
        <v>44656</v>
      </c>
      <c r="C142" s="116" t="s">
        <v>8</v>
      </c>
      <c r="D142" s="116">
        <v>1</v>
      </c>
      <c r="E142" s="115" t="s">
        <v>481</v>
      </c>
      <c r="F142" s="116" t="s">
        <v>130</v>
      </c>
      <c r="G142" s="115">
        <v>300</v>
      </c>
      <c r="H142" s="117">
        <v>44679</v>
      </c>
      <c r="I142" s="115">
        <v>6750</v>
      </c>
      <c r="J142" s="115">
        <v>5.8</v>
      </c>
      <c r="K142" s="115">
        <v>13.2</v>
      </c>
      <c r="L142" s="119">
        <f t="shared" ca="1" si="401"/>
        <v>0</v>
      </c>
      <c r="M142" s="119">
        <f t="shared" si="402"/>
        <v>-49950</v>
      </c>
      <c r="N142" s="115">
        <f t="shared" si="405"/>
        <v>2.2758620689655173</v>
      </c>
      <c r="O142" s="156">
        <f t="shared" si="406"/>
        <v>7.25</v>
      </c>
      <c r="P142" s="160">
        <f t="shared" si="245"/>
        <v>39150</v>
      </c>
      <c r="Q142" s="160" t="e">
        <f t="shared" si="407"/>
        <v>#N/A</v>
      </c>
      <c r="R142" s="153" t="e">
        <f t="shared" ca="1" si="403"/>
        <v>#VALUE!</v>
      </c>
      <c r="S142" s="119">
        <f t="shared" si="408"/>
        <v>0.57999999999999985</v>
      </c>
      <c r="T142" s="115" t="e">
        <f>VLOOKUP(TRIM($F142),Reference!B:C,2,0)</f>
        <v>#VALUE!</v>
      </c>
      <c r="U142" s="170">
        <f t="shared" ca="1" si="409"/>
        <v>0</v>
      </c>
      <c r="V142" s="120" t="str">
        <f t="shared" si="395"/>
        <v>TATAPOWER22APR300CE</v>
      </c>
      <c r="W142" s="158" t="e">
        <f>VLOOKUP($V142,Reference!BA:BD,4,0)</f>
        <v>#N/A</v>
      </c>
      <c r="X142" s="160">
        <f t="shared" ca="1" si="396"/>
        <v>0</v>
      </c>
      <c r="Y142" s="160">
        <f t="shared" ca="1" si="397"/>
        <v>0</v>
      </c>
      <c r="Z142" s="160">
        <f t="shared" ca="1" si="404"/>
        <v>0</v>
      </c>
      <c r="AA142" s="160">
        <f t="shared" ca="1" si="398"/>
        <v>0</v>
      </c>
      <c r="AB142" s="160">
        <f t="shared" ca="1" si="399"/>
        <v>0</v>
      </c>
      <c r="AC142" s="119">
        <f t="shared" ca="1" si="400"/>
        <v>0</v>
      </c>
      <c r="AD142" s="115">
        <f t="shared" ca="1" si="410"/>
        <v>-1.3835616438356164</v>
      </c>
      <c r="AE142" s="115">
        <f t="shared" si="411"/>
        <v>20</v>
      </c>
      <c r="AF142" s="115"/>
      <c r="AG142" s="115"/>
      <c r="AH142" s="115">
        <f t="shared" si="246"/>
        <v>19.574999999999999</v>
      </c>
      <c r="AI142" s="115"/>
      <c r="AJ142" s="115">
        <f t="shared" si="247"/>
        <v>0</v>
      </c>
      <c r="AK142" s="115"/>
      <c r="AL142" s="142"/>
      <c r="AM142" s="153"/>
      <c r="AN142" s="153"/>
      <c r="AO142" s="153"/>
      <c r="AP142" s="153"/>
      <c r="AQ142" s="153"/>
      <c r="AR142" s="153"/>
      <c r="AS142" s="153"/>
      <c r="AT142" s="153"/>
      <c r="AU142" s="153"/>
      <c r="AV142" s="153"/>
      <c r="AW142" s="153"/>
      <c r="AX142" s="153"/>
      <c r="AY142" s="153"/>
      <c r="AZ142" s="153"/>
      <c r="BA142" s="153"/>
      <c r="BB142" s="153"/>
      <c r="BC142" s="153"/>
      <c r="BD142" s="153"/>
      <c r="BE142" s="153"/>
      <c r="BF142" s="153"/>
      <c r="BG142" s="153"/>
      <c r="BS142" s="13">
        <v>2</v>
      </c>
      <c r="BT142" s="123">
        <v>44491</v>
      </c>
      <c r="BU142" s="116" t="s">
        <v>8</v>
      </c>
      <c r="BV142" s="115" t="s">
        <v>482</v>
      </c>
      <c r="BW142" s="116" t="s">
        <v>502</v>
      </c>
      <c r="BX142" s="115">
        <v>18400</v>
      </c>
      <c r="BY142" s="115">
        <v>41.7</v>
      </c>
      <c r="BZ142" s="115">
        <v>47.945</v>
      </c>
      <c r="CA142" s="119">
        <v>-3216.6708800000001</v>
      </c>
      <c r="CB142" s="115">
        <v>1.1497601918465228</v>
      </c>
      <c r="CC142" s="115">
        <v>500</v>
      </c>
      <c r="CD142" s="115">
        <v>50</v>
      </c>
      <c r="CE142" s="119">
        <v>20850</v>
      </c>
    </row>
    <row r="143" spans="1:83" hidden="1">
      <c r="A143" s="13">
        <f t="shared" si="244"/>
        <v>136</v>
      </c>
      <c r="B143" s="123">
        <v>44656</v>
      </c>
      <c r="C143" s="116" t="s">
        <v>8</v>
      </c>
      <c r="D143" s="116">
        <v>1</v>
      </c>
      <c r="E143" s="115" t="s">
        <v>481</v>
      </c>
      <c r="F143" s="116" t="s">
        <v>130</v>
      </c>
      <c r="G143" s="115">
        <v>290</v>
      </c>
      <c r="H143" s="117">
        <v>44679</v>
      </c>
      <c r="I143" s="115">
        <v>6750</v>
      </c>
      <c r="J143" s="115">
        <v>8</v>
      </c>
      <c r="K143" s="115">
        <v>12.7</v>
      </c>
      <c r="L143" s="119">
        <f t="shared" ca="1" si="401"/>
        <v>0</v>
      </c>
      <c r="M143" s="119">
        <f t="shared" si="402"/>
        <v>-31724.999999999996</v>
      </c>
      <c r="N143" s="115">
        <f t="shared" ref="N143:N144" si="412">K143/$J143</f>
        <v>1.5874999999999999</v>
      </c>
      <c r="O143" s="156">
        <f t="shared" ref="O143:O144" si="413">J143*(1+$O$6*IF(C143="B",-1,1))</f>
        <v>10</v>
      </c>
      <c r="P143" s="160">
        <f t="shared" si="245"/>
        <v>54000</v>
      </c>
      <c r="Q143" s="160" t="e">
        <f t="shared" ref="Q143:Q144" si="414">(W143-J143)*I143*IF(C143="B",1,-1)*IF(K143=0,1,0)</f>
        <v>#N/A</v>
      </c>
      <c r="R143" s="153" t="e">
        <f t="shared" ca="1" si="403"/>
        <v>#VALUE!</v>
      </c>
      <c r="S143" s="119">
        <f t="shared" ref="S143:S144" si="415">(1-$S$6)*J143</f>
        <v>0.79999999999999982</v>
      </c>
      <c r="T143" s="115" t="e">
        <f>VLOOKUP(TRIM($F143),Reference!B:C,2,0)</f>
        <v>#VALUE!</v>
      </c>
      <c r="U143" s="170">
        <f t="shared" ref="U143:U144" ca="1" si="416">AC143</f>
        <v>0</v>
      </c>
      <c r="V143" s="120" t="str">
        <f t="shared" si="395"/>
        <v>TATAPOWER22APR290CE</v>
      </c>
      <c r="W143" s="158" t="e">
        <f>VLOOKUP($V143,Reference!BA:BD,4,0)</f>
        <v>#N/A</v>
      </c>
      <c r="X143" s="160">
        <f t="shared" ca="1" si="396"/>
        <v>0</v>
      </c>
      <c r="Y143" s="160">
        <f t="shared" ca="1" si="397"/>
        <v>0</v>
      </c>
      <c r="Z143" s="160">
        <f t="shared" ca="1" si="404"/>
        <v>0</v>
      </c>
      <c r="AA143" s="160">
        <f t="shared" ca="1" si="398"/>
        <v>0</v>
      </c>
      <c r="AB143" s="160">
        <f t="shared" ca="1" si="399"/>
        <v>0</v>
      </c>
      <c r="AC143" s="119">
        <f t="shared" ca="1" si="400"/>
        <v>0</v>
      </c>
      <c r="AD143" s="115">
        <f t="shared" ref="AD143:AD144" ca="1" si="417">(H143-TODAY())/365</f>
        <v>-1.3835616438356164</v>
      </c>
      <c r="AE143" s="115">
        <f t="shared" ref="AE143:AE144" si="418">IF(I143&lt;&gt;0,20,0)</f>
        <v>20</v>
      </c>
      <c r="AF143" s="115"/>
      <c r="AG143" s="115"/>
      <c r="AH143" s="115">
        <f t="shared" si="246"/>
        <v>27</v>
      </c>
      <c r="AI143" s="115"/>
      <c r="AJ143" s="115">
        <f t="shared" si="247"/>
        <v>0</v>
      </c>
      <c r="AK143" s="115"/>
      <c r="AL143" s="142"/>
      <c r="AM143" s="153"/>
      <c r="AN143" s="153"/>
      <c r="AO143" s="153"/>
      <c r="AP143" s="153"/>
      <c r="AQ143" s="153"/>
      <c r="AR143" s="153"/>
      <c r="AS143" s="153"/>
      <c r="AT143" s="153"/>
      <c r="AU143" s="153"/>
      <c r="AV143" s="153"/>
      <c r="AW143" s="153"/>
      <c r="AX143" s="153"/>
      <c r="AY143" s="153"/>
      <c r="AZ143" s="153"/>
      <c r="BA143" s="153"/>
      <c r="BB143" s="153"/>
      <c r="BC143" s="153"/>
      <c r="BD143" s="153"/>
      <c r="BE143" s="153"/>
      <c r="BF143" s="153"/>
      <c r="BG143" s="153"/>
      <c r="BS143" s="13">
        <v>2</v>
      </c>
      <c r="BT143" s="123">
        <v>44491</v>
      </c>
      <c r="BU143" s="116" t="s">
        <v>8</v>
      </c>
      <c r="BV143" s="115" t="s">
        <v>482</v>
      </c>
      <c r="BW143" s="116" t="s">
        <v>502</v>
      </c>
      <c r="BX143" s="115">
        <v>18400</v>
      </c>
      <c r="BY143" s="115">
        <v>41.7</v>
      </c>
      <c r="BZ143" s="115">
        <v>47.945</v>
      </c>
      <c r="CA143" s="119">
        <v>-3216.6708800000001</v>
      </c>
      <c r="CB143" s="115">
        <v>1.1497601918465228</v>
      </c>
      <c r="CC143" s="115">
        <v>500</v>
      </c>
      <c r="CD143" s="115">
        <v>50</v>
      </c>
      <c r="CE143" s="119">
        <v>20850</v>
      </c>
    </row>
    <row r="144" spans="1:83" hidden="1">
      <c r="A144" s="13">
        <f t="shared" si="244"/>
        <v>137</v>
      </c>
      <c r="B144" s="123">
        <v>44657</v>
      </c>
      <c r="C144" s="116" t="s">
        <v>6</v>
      </c>
      <c r="D144" s="116">
        <v>1</v>
      </c>
      <c r="E144" s="115" t="s">
        <v>632</v>
      </c>
      <c r="F144" s="116" t="s">
        <v>130</v>
      </c>
      <c r="G144" s="115"/>
      <c r="H144" s="117">
        <v>44679</v>
      </c>
      <c r="I144" s="115">
        <v>6750</v>
      </c>
      <c r="J144" s="115">
        <v>276.5</v>
      </c>
      <c r="K144" s="115">
        <v>285.55</v>
      </c>
      <c r="L144" s="119">
        <f t="shared" ca="1" si="401"/>
        <v>0</v>
      </c>
      <c r="M144" s="119">
        <f t="shared" si="402"/>
        <v>61087.50000000008</v>
      </c>
      <c r="N144" s="115">
        <f t="shared" si="412"/>
        <v>1.0327305605786619</v>
      </c>
      <c r="O144" s="156">
        <f t="shared" si="413"/>
        <v>207.375</v>
      </c>
      <c r="P144" s="160">
        <f t="shared" si="245"/>
        <v>1866375</v>
      </c>
      <c r="Q144" s="160" t="e">
        <f t="shared" si="414"/>
        <v>#N/A</v>
      </c>
      <c r="R144" s="153" t="e">
        <f t="shared" ca="1" si="403"/>
        <v>#VALUE!</v>
      </c>
      <c r="S144" s="119">
        <f t="shared" si="415"/>
        <v>27.649999999999995</v>
      </c>
      <c r="T144" s="115" t="e">
        <f>VLOOKUP(TRIM($F144),Reference!B:C,2,0)</f>
        <v>#VALUE!</v>
      </c>
      <c r="U144" s="170">
        <f t="shared" ca="1" si="416"/>
        <v>0</v>
      </c>
      <c r="V144" s="120" t="str">
        <f t="shared" si="395"/>
        <v>TATAPOWER22APRFUT</v>
      </c>
      <c r="W144" s="158" t="e">
        <f>VLOOKUP($V144,Reference!BA:BD,4,0)</f>
        <v>#N/A</v>
      </c>
      <c r="X144" s="160">
        <f t="shared" ca="1" si="396"/>
        <v>0</v>
      </c>
      <c r="Y144" s="160">
        <f t="shared" ca="1" si="397"/>
        <v>0</v>
      </c>
      <c r="Z144" s="160">
        <f t="shared" ca="1" si="404"/>
        <v>0</v>
      </c>
      <c r="AA144" s="160">
        <f t="shared" ca="1" si="398"/>
        <v>0</v>
      </c>
      <c r="AB144" s="160">
        <f t="shared" ca="1" si="399"/>
        <v>0</v>
      </c>
      <c r="AC144" s="119">
        <f t="shared" ca="1" si="400"/>
        <v>0</v>
      </c>
      <c r="AD144" s="115">
        <f t="shared" ca="1" si="417"/>
        <v>-1.3835616438356164</v>
      </c>
      <c r="AE144" s="115">
        <f t="shared" si="418"/>
        <v>20</v>
      </c>
      <c r="AF144" s="115"/>
      <c r="AG144" s="115"/>
      <c r="AH144" s="115">
        <f t="shared" si="246"/>
        <v>0</v>
      </c>
      <c r="AI144" s="115"/>
      <c r="AJ144" s="115">
        <f t="shared" si="247"/>
        <v>55.991250000000001</v>
      </c>
      <c r="AK144" s="115"/>
      <c r="AL144" s="142"/>
      <c r="AM144" s="153"/>
      <c r="AN144" s="153"/>
      <c r="AO144" s="153"/>
      <c r="AP144" s="153"/>
      <c r="AQ144" s="153"/>
      <c r="AR144" s="153"/>
      <c r="AS144" s="153"/>
      <c r="AT144" s="153"/>
      <c r="AU144" s="153"/>
      <c r="AV144" s="153"/>
      <c r="AW144" s="153"/>
      <c r="AX144" s="153"/>
      <c r="AY144" s="153"/>
      <c r="AZ144" s="153"/>
      <c r="BA144" s="153"/>
      <c r="BB144" s="153"/>
      <c r="BC144" s="153"/>
      <c r="BD144" s="153"/>
      <c r="BE144" s="153"/>
      <c r="BF144" s="153"/>
      <c r="BG144" s="153"/>
      <c r="BS144" s="13">
        <v>2</v>
      </c>
      <c r="BT144" s="123">
        <v>44491</v>
      </c>
      <c r="BU144" s="116" t="s">
        <v>8</v>
      </c>
      <c r="BV144" s="115" t="s">
        <v>482</v>
      </c>
      <c r="BW144" s="116" t="s">
        <v>502</v>
      </c>
      <c r="BX144" s="115">
        <v>18400</v>
      </c>
      <c r="BY144" s="115">
        <v>41.7</v>
      </c>
      <c r="BZ144" s="115">
        <v>47.945</v>
      </c>
      <c r="CA144" s="119">
        <v>-3216.6708800000001</v>
      </c>
      <c r="CB144" s="115">
        <v>1.1497601918465228</v>
      </c>
      <c r="CC144" s="115">
        <v>500</v>
      </c>
      <c r="CD144" s="115">
        <v>50</v>
      </c>
      <c r="CE144" s="119">
        <v>20850</v>
      </c>
    </row>
    <row r="145" spans="1:83" hidden="1">
      <c r="A145" s="13">
        <f t="shared" si="244"/>
        <v>138</v>
      </c>
      <c r="B145" s="123">
        <v>44657</v>
      </c>
      <c r="C145" s="116" t="s">
        <v>6</v>
      </c>
      <c r="D145" s="116">
        <v>1</v>
      </c>
      <c r="E145" s="115" t="s">
        <v>632</v>
      </c>
      <c r="F145" s="116" t="s">
        <v>130</v>
      </c>
      <c r="G145" s="115"/>
      <c r="H145" s="117">
        <v>44679</v>
      </c>
      <c r="I145" s="115">
        <v>6750</v>
      </c>
      <c r="J145" s="115">
        <v>286.2</v>
      </c>
      <c r="K145" s="115">
        <v>257.3</v>
      </c>
      <c r="L145" s="119">
        <f t="shared" ca="1" si="401"/>
        <v>0</v>
      </c>
      <c r="M145" s="119">
        <f t="shared" si="402"/>
        <v>-195074.99999999985</v>
      </c>
      <c r="N145" s="115">
        <f t="shared" ref="N145" si="419">K145/$J145</f>
        <v>0.89902166317260668</v>
      </c>
      <c r="O145" s="156">
        <f t="shared" ref="O145" si="420">J145*(1+$O$6*IF(C145="B",-1,1))</f>
        <v>214.64999999999998</v>
      </c>
      <c r="P145" s="160">
        <f t="shared" si="245"/>
        <v>1931850</v>
      </c>
      <c r="Q145" s="160" t="e">
        <f t="shared" ref="Q145" si="421">(W145-J145)*I145*IF(C145="B",1,-1)*IF(K145=0,1,0)</f>
        <v>#N/A</v>
      </c>
      <c r="R145" s="153" t="e">
        <f t="shared" ca="1" si="403"/>
        <v>#VALUE!</v>
      </c>
      <c r="S145" s="119">
        <f t="shared" ref="S145" si="422">(1-$S$6)*J145</f>
        <v>28.619999999999994</v>
      </c>
      <c r="T145" s="115" t="e">
        <f>VLOOKUP(TRIM($F145),Reference!B:C,2,0)</f>
        <v>#VALUE!</v>
      </c>
      <c r="U145" s="170">
        <f t="shared" ref="U145" ca="1" si="423">AC145</f>
        <v>0</v>
      </c>
      <c r="V145" s="120" t="str">
        <f t="shared" si="395"/>
        <v>TATAPOWER22APRFUT</v>
      </c>
      <c r="W145" s="158" t="e">
        <f>VLOOKUP($V145,Reference!BA:BD,4,0)</f>
        <v>#N/A</v>
      </c>
      <c r="X145" s="160">
        <f t="shared" ca="1" si="396"/>
        <v>0</v>
      </c>
      <c r="Y145" s="160">
        <f t="shared" ca="1" si="397"/>
        <v>0</v>
      </c>
      <c r="Z145" s="160">
        <f t="shared" ca="1" si="404"/>
        <v>0</v>
      </c>
      <c r="AA145" s="160">
        <f t="shared" ca="1" si="398"/>
        <v>0</v>
      </c>
      <c r="AB145" s="160">
        <f t="shared" ca="1" si="399"/>
        <v>0</v>
      </c>
      <c r="AC145" s="119">
        <f t="shared" ca="1" si="400"/>
        <v>0</v>
      </c>
      <c r="AD145" s="115">
        <f t="shared" ref="AD145" ca="1" si="424">(H145-TODAY())/365</f>
        <v>-1.3835616438356164</v>
      </c>
      <c r="AE145" s="115">
        <f t="shared" ref="AE145" si="425">IF(I145&lt;&gt;0,20,0)</f>
        <v>20</v>
      </c>
      <c r="AF145" s="115"/>
      <c r="AG145" s="115"/>
      <c r="AH145" s="115">
        <f t="shared" si="246"/>
        <v>0</v>
      </c>
      <c r="AI145" s="115"/>
      <c r="AJ145" s="115">
        <f t="shared" si="247"/>
        <v>57.955500000000001</v>
      </c>
      <c r="AK145" s="115"/>
      <c r="AL145" s="142"/>
      <c r="AM145" s="153"/>
      <c r="AN145" s="153"/>
      <c r="AO145" s="153"/>
      <c r="AP145" s="153"/>
      <c r="AQ145" s="153"/>
      <c r="AR145" s="153"/>
      <c r="AS145" s="153"/>
      <c r="AT145" s="153"/>
      <c r="AU145" s="153"/>
      <c r="AV145" s="153"/>
      <c r="AW145" s="153"/>
      <c r="AX145" s="153"/>
      <c r="AY145" s="153"/>
      <c r="AZ145" s="153"/>
      <c r="BA145" s="153"/>
      <c r="BB145" s="153"/>
      <c r="BC145" s="153"/>
      <c r="BD145" s="153"/>
      <c r="BE145" s="153"/>
      <c r="BF145" s="153"/>
      <c r="BG145" s="153"/>
      <c r="BS145" s="13">
        <v>2</v>
      </c>
      <c r="BT145" s="123">
        <v>44491</v>
      </c>
      <c r="BU145" s="116" t="s">
        <v>8</v>
      </c>
      <c r="BV145" s="115" t="s">
        <v>482</v>
      </c>
      <c r="BW145" s="116" t="s">
        <v>502</v>
      </c>
      <c r="BX145" s="115">
        <v>18400</v>
      </c>
      <c r="BY145" s="115">
        <v>41.7</v>
      </c>
      <c r="BZ145" s="115">
        <v>47.945</v>
      </c>
      <c r="CA145" s="119">
        <v>-3216.6708800000001</v>
      </c>
      <c r="CB145" s="115">
        <v>1.1497601918465228</v>
      </c>
      <c r="CC145" s="115">
        <v>500</v>
      </c>
      <c r="CD145" s="115">
        <v>50</v>
      </c>
      <c r="CE145" s="119">
        <v>20850</v>
      </c>
    </row>
    <row r="146" spans="1:83" hidden="1">
      <c r="A146" s="13">
        <f t="shared" si="244"/>
        <v>139</v>
      </c>
      <c r="B146" s="123">
        <v>44657</v>
      </c>
      <c r="C146" s="116" t="s">
        <v>6</v>
      </c>
      <c r="D146" s="116">
        <v>1</v>
      </c>
      <c r="E146" s="115" t="s">
        <v>632</v>
      </c>
      <c r="F146" s="116" t="s">
        <v>130</v>
      </c>
      <c r="G146" s="115"/>
      <c r="H146" s="117">
        <v>44679</v>
      </c>
      <c r="I146" s="115">
        <v>6750</v>
      </c>
      <c r="J146" s="115">
        <v>286</v>
      </c>
      <c r="K146" s="115">
        <v>244</v>
      </c>
      <c r="L146" s="119">
        <f t="shared" ca="1" si="401"/>
        <v>0</v>
      </c>
      <c r="M146" s="119">
        <f t="shared" si="402"/>
        <v>-283500</v>
      </c>
      <c r="N146" s="115">
        <f t="shared" ref="N146" si="426">K146/$J146</f>
        <v>0.85314685314685312</v>
      </c>
      <c r="O146" s="156">
        <f t="shared" ref="O146" si="427">J146*(1+$O$6*IF(C146="B",-1,1))</f>
        <v>214.5</v>
      </c>
      <c r="P146" s="160">
        <f t="shared" si="245"/>
        <v>1930500</v>
      </c>
      <c r="Q146" s="160" t="e">
        <f t="shared" ref="Q146" si="428">(W146-J146)*I146*IF(C146="B",1,-1)*IF(K146=0,1,0)</f>
        <v>#N/A</v>
      </c>
      <c r="R146" s="153" t="e">
        <f t="shared" ca="1" si="403"/>
        <v>#VALUE!</v>
      </c>
      <c r="S146" s="119">
        <f t="shared" ref="S146" si="429">(1-$S$6)*J146</f>
        <v>28.599999999999994</v>
      </c>
      <c r="T146" s="115" t="e">
        <f>VLOOKUP(TRIM($F146),Reference!B:C,2,0)</f>
        <v>#VALUE!</v>
      </c>
      <c r="U146" s="170">
        <f t="shared" ref="U146" ca="1" si="430">AC146</f>
        <v>0</v>
      </c>
      <c r="V146" s="120" t="str">
        <f t="shared" si="395"/>
        <v>TATAPOWER22APRFUT</v>
      </c>
      <c r="W146" s="158" t="e">
        <f>VLOOKUP($V146,Reference!BA:BD,4,0)</f>
        <v>#N/A</v>
      </c>
      <c r="X146" s="160">
        <f t="shared" ca="1" si="396"/>
        <v>0</v>
      </c>
      <c r="Y146" s="160">
        <f t="shared" ca="1" si="397"/>
        <v>0</v>
      </c>
      <c r="Z146" s="160">
        <f t="shared" ca="1" si="404"/>
        <v>0</v>
      </c>
      <c r="AA146" s="160">
        <f t="shared" ca="1" si="398"/>
        <v>0</v>
      </c>
      <c r="AB146" s="160">
        <f t="shared" ca="1" si="399"/>
        <v>0</v>
      </c>
      <c r="AC146" s="119">
        <f t="shared" ca="1" si="400"/>
        <v>0</v>
      </c>
      <c r="AD146" s="115">
        <f t="shared" ref="AD146" ca="1" si="431">(H146-TODAY())/365</f>
        <v>-1.3835616438356164</v>
      </c>
      <c r="AE146" s="115">
        <f t="shared" ref="AE146" si="432">IF(I146&lt;&gt;0,20,0)</f>
        <v>20</v>
      </c>
      <c r="AF146" s="115"/>
      <c r="AG146" s="115"/>
      <c r="AH146" s="115">
        <f t="shared" si="246"/>
        <v>0</v>
      </c>
      <c r="AI146" s="115"/>
      <c r="AJ146" s="115">
        <f t="shared" si="247"/>
        <v>57.914999999999999</v>
      </c>
      <c r="AK146" s="115"/>
      <c r="AL146" s="142"/>
      <c r="AM146" s="153"/>
      <c r="AN146" s="153"/>
      <c r="AO146" s="153"/>
      <c r="AP146" s="153"/>
      <c r="AQ146" s="153"/>
      <c r="AR146" s="153"/>
      <c r="AS146" s="153"/>
      <c r="AT146" s="153"/>
      <c r="AU146" s="153"/>
      <c r="AV146" s="153"/>
      <c r="AW146" s="153"/>
      <c r="AX146" s="153"/>
      <c r="AY146" s="153"/>
      <c r="AZ146" s="153"/>
      <c r="BA146" s="153"/>
      <c r="BB146" s="153"/>
      <c r="BC146" s="153"/>
      <c r="BD146" s="153"/>
      <c r="BE146" s="153"/>
      <c r="BF146" s="153"/>
      <c r="BG146" s="153"/>
      <c r="BS146" s="13">
        <v>2</v>
      </c>
      <c r="BT146" s="123">
        <v>44491</v>
      </c>
      <c r="BU146" s="116" t="s">
        <v>8</v>
      </c>
      <c r="BV146" s="115" t="s">
        <v>482</v>
      </c>
      <c r="BW146" s="116" t="s">
        <v>502</v>
      </c>
      <c r="BX146" s="115">
        <v>18400</v>
      </c>
      <c r="BY146" s="115">
        <v>41.7</v>
      </c>
      <c r="BZ146" s="115">
        <v>47.945</v>
      </c>
      <c r="CA146" s="119">
        <v>-3216.6708800000001</v>
      </c>
      <c r="CB146" s="115">
        <v>1.1497601918465228</v>
      </c>
      <c r="CC146" s="115">
        <v>500</v>
      </c>
      <c r="CD146" s="115">
        <v>50</v>
      </c>
      <c r="CE146" s="119">
        <v>20850</v>
      </c>
    </row>
    <row r="147" spans="1:83" hidden="1">
      <c r="A147" s="13">
        <f t="shared" si="244"/>
        <v>140</v>
      </c>
      <c r="B147" s="123">
        <v>44657</v>
      </c>
      <c r="C147" s="116" t="s">
        <v>6</v>
      </c>
      <c r="D147" s="116">
        <v>1</v>
      </c>
      <c r="E147" s="115" t="s">
        <v>632</v>
      </c>
      <c r="F147" s="116" t="s">
        <v>130</v>
      </c>
      <c r="G147" s="115"/>
      <c r="H147" s="117">
        <v>44679</v>
      </c>
      <c r="I147" s="115">
        <v>6750</v>
      </c>
      <c r="J147" s="115">
        <v>285</v>
      </c>
      <c r="K147" s="115">
        <v>282</v>
      </c>
      <c r="L147" s="119">
        <f t="shared" ca="1" si="401"/>
        <v>0</v>
      </c>
      <c r="M147" s="119">
        <f t="shared" si="402"/>
        <v>-20250</v>
      </c>
      <c r="N147" s="115">
        <f t="shared" ref="N147" si="433">K147/$J147</f>
        <v>0.98947368421052628</v>
      </c>
      <c r="O147" s="156">
        <f t="shared" ref="O147" si="434">J147*(1+$O$6*IF(C147="B",-1,1))</f>
        <v>213.75</v>
      </c>
      <c r="P147" s="160">
        <f t="shared" si="245"/>
        <v>1923750</v>
      </c>
      <c r="Q147" s="160" t="e">
        <f t="shared" ref="Q147" si="435">(W147-J147)*I147*IF(C147="B",1,-1)*IF(K147=0,1,0)</f>
        <v>#N/A</v>
      </c>
      <c r="R147" s="153" t="e">
        <f t="shared" ca="1" si="403"/>
        <v>#VALUE!</v>
      </c>
      <c r="S147" s="119">
        <f t="shared" ref="S147" si="436">(1-$S$6)*J147</f>
        <v>28.499999999999993</v>
      </c>
      <c r="T147" s="115" t="e">
        <f>VLOOKUP(TRIM($F147),Reference!B:C,2,0)</f>
        <v>#VALUE!</v>
      </c>
      <c r="U147" s="170">
        <f t="shared" ref="U147" ca="1" si="437">AC147</f>
        <v>0</v>
      </c>
      <c r="V147" s="120" t="str">
        <f t="shared" si="395"/>
        <v>TATAPOWER22APRFUT</v>
      </c>
      <c r="W147" s="158" t="e">
        <f>VLOOKUP($V147,Reference!BA:BD,4,0)</f>
        <v>#N/A</v>
      </c>
      <c r="X147" s="160">
        <f t="shared" ca="1" si="396"/>
        <v>0</v>
      </c>
      <c r="Y147" s="160">
        <f t="shared" ca="1" si="397"/>
        <v>0</v>
      </c>
      <c r="Z147" s="160">
        <f t="shared" ca="1" si="404"/>
        <v>0</v>
      </c>
      <c r="AA147" s="160">
        <f t="shared" ca="1" si="398"/>
        <v>0</v>
      </c>
      <c r="AB147" s="160">
        <f t="shared" ca="1" si="399"/>
        <v>0</v>
      </c>
      <c r="AC147" s="119">
        <f t="shared" ca="1" si="400"/>
        <v>0</v>
      </c>
      <c r="AD147" s="115">
        <f t="shared" ref="AD147" ca="1" si="438">(H147-TODAY())/365</f>
        <v>-1.3835616438356164</v>
      </c>
      <c r="AE147" s="115">
        <f t="shared" ref="AE147" si="439">IF(I147&lt;&gt;0,20,0)</f>
        <v>20</v>
      </c>
      <c r="AF147" s="115"/>
      <c r="AG147" s="115"/>
      <c r="AH147" s="115">
        <f t="shared" si="246"/>
        <v>0</v>
      </c>
      <c r="AI147" s="115"/>
      <c r="AJ147" s="115">
        <f t="shared" si="247"/>
        <v>57.712499999999999</v>
      </c>
      <c r="AK147" s="115"/>
      <c r="AL147" s="142"/>
      <c r="AM147" s="153"/>
      <c r="AN147" s="153"/>
      <c r="AO147" s="153"/>
      <c r="AP147" s="153"/>
      <c r="AQ147" s="153"/>
      <c r="AR147" s="153"/>
      <c r="AS147" s="153"/>
      <c r="AT147" s="153"/>
      <c r="AU147" s="153"/>
      <c r="AV147" s="153"/>
      <c r="AW147" s="153"/>
      <c r="AX147" s="153"/>
      <c r="AY147" s="153"/>
      <c r="AZ147" s="153"/>
      <c r="BA147" s="153"/>
      <c r="BB147" s="153"/>
      <c r="BC147" s="153"/>
      <c r="BD147" s="153"/>
      <c r="BE147" s="153"/>
      <c r="BF147" s="153"/>
      <c r="BG147" s="153"/>
      <c r="BS147" s="13">
        <v>2</v>
      </c>
      <c r="BT147" s="123">
        <v>44491</v>
      </c>
      <c r="BU147" s="116" t="s">
        <v>8</v>
      </c>
      <c r="BV147" s="115" t="s">
        <v>482</v>
      </c>
      <c r="BW147" s="116" t="s">
        <v>502</v>
      </c>
      <c r="BX147" s="115">
        <v>18400</v>
      </c>
      <c r="BY147" s="115">
        <v>41.7</v>
      </c>
      <c r="BZ147" s="115">
        <v>47.945</v>
      </c>
      <c r="CA147" s="119">
        <v>-3216.6708800000001</v>
      </c>
      <c r="CB147" s="115">
        <v>1.1497601918465228</v>
      </c>
      <c r="CC147" s="115">
        <v>500</v>
      </c>
      <c r="CD147" s="115">
        <v>50</v>
      </c>
      <c r="CE147" s="119">
        <v>20850</v>
      </c>
    </row>
    <row r="148" spans="1:83" hidden="1">
      <c r="A148" s="13">
        <f t="shared" si="244"/>
        <v>141</v>
      </c>
      <c r="B148" s="123">
        <v>44657</v>
      </c>
      <c r="C148" s="116" t="s">
        <v>6</v>
      </c>
      <c r="D148" s="116">
        <v>0</v>
      </c>
      <c r="E148" s="115" t="s">
        <v>632</v>
      </c>
      <c r="F148" s="116" t="s">
        <v>284</v>
      </c>
      <c r="G148" s="115"/>
      <c r="H148" s="117">
        <v>44679</v>
      </c>
      <c r="I148" s="115">
        <v>2850</v>
      </c>
      <c r="J148" s="115">
        <v>459.45</v>
      </c>
      <c r="K148" s="115">
        <v>430.8</v>
      </c>
      <c r="L148" s="119">
        <f t="shared" ca="1" si="401"/>
        <v>0</v>
      </c>
      <c r="M148" s="119">
        <f t="shared" si="402"/>
        <v>0</v>
      </c>
      <c r="N148" s="115">
        <f t="shared" ref="N148" si="440">K148/$J148</f>
        <v>0.93764283382304936</v>
      </c>
      <c r="O148" s="156">
        <f t="shared" ref="O148" si="441">J148*(1+$O$6*IF(C148="B",-1,1))</f>
        <v>344.58749999999998</v>
      </c>
      <c r="P148" s="160">
        <f t="shared" si="245"/>
        <v>0</v>
      </c>
      <c r="Q148" s="160" t="e">
        <f t="shared" ref="Q148" si="442">(W148-J148)*I148*IF(C148="B",1,-1)*IF(K148=0,1,0)</f>
        <v>#N/A</v>
      </c>
      <c r="R148" s="153" t="e">
        <f t="shared" ca="1" si="403"/>
        <v>#VALUE!</v>
      </c>
      <c r="S148" s="119">
        <f t="shared" ref="S148" si="443">(1-$S$6)*J148</f>
        <v>45.944999999999986</v>
      </c>
      <c r="T148" s="115" t="e">
        <f>VLOOKUP(TRIM($F148),Reference!B:C,2,0)</f>
        <v>#VALUE!</v>
      </c>
      <c r="U148" s="170">
        <f t="shared" ref="U148" ca="1" si="444">AC148</f>
        <v>0</v>
      </c>
      <c r="V148" s="120" t="str">
        <f t="shared" si="395"/>
        <v>TATAMOTORS22APRFUT</v>
      </c>
      <c r="W148" s="158" t="e">
        <f>VLOOKUP($V148,Reference!BA:BD,4,0)</f>
        <v>#N/A</v>
      </c>
      <c r="X148" s="160">
        <f t="shared" ca="1" si="396"/>
        <v>0</v>
      </c>
      <c r="Y148" s="160">
        <f t="shared" ca="1" si="397"/>
        <v>0</v>
      </c>
      <c r="Z148" s="160">
        <f t="shared" ca="1" si="404"/>
        <v>0</v>
      </c>
      <c r="AA148" s="160">
        <f t="shared" ca="1" si="398"/>
        <v>0</v>
      </c>
      <c r="AB148" s="160">
        <f t="shared" ca="1" si="399"/>
        <v>0</v>
      </c>
      <c r="AC148" s="119">
        <f t="shared" ca="1" si="400"/>
        <v>0</v>
      </c>
      <c r="AD148" s="115">
        <f t="shared" ref="AD148" ca="1" si="445">(H148-TODAY())/365</f>
        <v>-1.3835616438356164</v>
      </c>
      <c r="AE148" s="115">
        <f t="shared" ref="AE148" si="446">IF(I148&lt;&gt;0,20,0)</f>
        <v>20</v>
      </c>
      <c r="AF148" s="115"/>
      <c r="AG148" s="115"/>
      <c r="AH148" s="115">
        <f t="shared" si="246"/>
        <v>0</v>
      </c>
      <c r="AI148" s="115"/>
      <c r="AJ148" s="115">
        <f t="shared" si="247"/>
        <v>0</v>
      </c>
      <c r="AK148" s="115"/>
      <c r="AL148" s="142"/>
      <c r="AM148" s="153"/>
      <c r="AN148" s="153"/>
      <c r="AO148" s="153"/>
      <c r="AP148" s="153"/>
      <c r="AQ148" s="153"/>
      <c r="AR148" s="153"/>
      <c r="AS148" s="153"/>
      <c r="AT148" s="153"/>
      <c r="AU148" s="153"/>
      <c r="AV148" s="153"/>
      <c r="AW148" s="153"/>
      <c r="AX148" s="153"/>
      <c r="AY148" s="153"/>
      <c r="AZ148" s="153"/>
      <c r="BA148" s="153"/>
      <c r="BB148" s="153"/>
      <c r="BC148" s="153"/>
      <c r="BD148" s="153"/>
      <c r="BE148" s="153"/>
      <c r="BF148" s="153"/>
      <c r="BG148" s="153"/>
      <c r="BS148" s="13">
        <v>2</v>
      </c>
      <c r="BT148" s="123">
        <v>44491</v>
      </c>
      <c r="BU148" s="116" t="s">
        <v>8</v>
      </c>
      <c r="BV148" s="115" t="s">
        <v>482</v>
      </c>
      <c r="BW148" s="116" t="s">
        <v>502</v>
      </c>
      <c r="BX148" s="115">
        <v>18400</v>
      </c>
      <c r="BY148" s="115">
        <v>41.7</v>
      </c>
      <c r="BZ148" s="115">
        <v>47.945</v>
      </c>
      <c r="CA148" s="119">
        <v>-3216.6708800000001</v>
      </c>
      <c r="CB148" s="115">
        <v>1.1497601918465228</v>
      </c>
      <c r="CC148" s="115">
        <v>500</v>
      </c>
      <c r="CD148" s="115">
        <v>50</v>
      </c>
      <c r="CE148" s="119">
        <v>20850</v>
      </c>
    </row>
    <row r="149" spans="1:83" hidden="1">
      <c r="A149" s="13">
        <f t="shared" si="244"/>
        <v>142</v>
      </c>
      <c r="B149" s="123">
        <v>44657</v>
      </c>
      <c r="C149" s="116" t="s">
        <v>6</v>
      </c>
      <c r="D149" s="116">
        <v>0</v>
      </c>
      <c r="E149" s="115" t="s">
        <v>632</v>
      </c>
      <c r="F149" s="116" t="s">
        <v>284</v>
      </c>
      <c r="G149" s="115"/>
      <c r="H149" s="117">
        <v>44679</v>
      </c>
      <c r="I149" s="115">
        <v>2850</v>
      </c>
      <c r="J149" s="115">
        <v>459.3</v>
      </c>
      <c r="K149" s="115">
        <v>430.8</v>
      </c>
      <c r="L149" s="119">
        <f t="shared" ca="1" si="401"/>
        <v>0</v>
      </c>
      <c r="M149" s="119">
        <f t="shared" si="402"/>
        <v>0</v>
      </c>
      <c r="N149" s="115">
        <f t="shared" ref="N149:N151" si="447">K149/$J149</f>
        <v>0.93794905290659703</v>
      </c>
      <c r="O149" s="156">
        <f t="shared" ref="O149:O151" si="448">J149*(1+$O$6*IF(C149="B",-1,1))</f>
        <v>344.47500000000002</v>
      </c>
      <c r="P149" s="160">
        <f t="shared" si="245"/>
        <v>0</v>
      </c>
      <c r="Q149" s="160" t="e">
        <f t="shared" ref="Q149:Q151" si="449">(W149-J149)*I149*IF(C149="B",1,-1)*IF(K149=0,1,0)</f>
        <v>#N/A</v>
      </c>
      <c r="R149" s="153" t="e">
        <f t="shared" ca="1" si="403"/>
        <v>#VALUE!</v>
      </c>
      <c r="S149" s="119">
        <f t="shared" ref="S149:S151" si="450">(1-$S$6)*J149</f>
        <v>45.929999999999993</v>
      </c>
      <c r="T149" s="115" t="e">
        <f>VLOOKUP(TRIM($F149),Reference!B:C,2,0)</f>
        <v>#VALUE!</v>
      </c>
      <c r="U149" s="170">
        <f t="shared" ref="U149:U151" ca="1" si="451">AC149</f>
        <v>0</v>
      </c>
      <c r="V149" s="120" t="str">
        <f t="shared" si="395"/>
        <v>TATAMOTORS22APRFUT</v>
      </c>
      <c r="W149" s="158" t="e">
        <f>VLOOKUP($V149,Reference!BA:BD,4,0)</f>
        <v>#N/A</v>
      </c>
      <c r="X149" s="160">
        <f t="shared" ca="1" si="396"/>
        <v>0</v>
      </c>
      <c r="Y149" s="160">
        <f t="shared" ca="1" si="397"/>
        <v>0</v>
      </c>
      <c r="Z149" s="160">
        <f t="shared" ca="1" si="404"/>
        <v>0</v>
      </c>
      <c r="AA149" s="160">
        <f t="shared" ca="1" si="398"/>
        <v>0</v>
      </c>
      <c r="AB149" s="160">
        <f t="shared" ca="1" si="399"/>
        <v>0</v>
      </c>
      <c r="AC149" s="119">
        <f t="shared" ca="1" si="400"/>
        <v>0</v>
      </c>
      <c r="AD149" s="115">
        <f t="shared" ref="AD149:AD151" ca="1" si="452">(H149-TODAY())/365</f>
        <v>-1.3835616438356164</v>
      </c>
      <c r="AE149" s="115">
        <f t="shared" ref="AE149:AE151" si="453">IF(I149&lt;&gt;0,20,0)</f>
        <v>20</v>
      </c>
      <c r="AF149" s="115"/>
      <c r="AG149" s="115"/>
      <c r="AH149" s="115">
        <f t="shared" si="246"/>
        <v>0</v>
      </c>
      <c r="AI149" s="115"/>
      <c r="AJ149" s="115">
        <f t="shared" si="247"/>
        <v>0</v>
      </c>
      <c r="AK149" s="115"/>
      <c r="AL149" s="142"/>
      <c r="AM149" s="153"/>
      <c r="AN149" s="153"/>
      <c r="AO149" s="153"/>
      <c r="AP149" s="153"/>
      <c r="AQ149" s="153"/>
      <c r="AR149" s="153"/>
      <c r="AS149" s="153"/>
      <c r="AT149" s="153"/>
      <c r="AU149" s="153"/>
      <c r="AV149" s="153"/>
      <c r="AW149" s="153"/>
      <c r="AX149" s="153"/>
      <c r="AY149" s="153"/>
      <c r="AZ149" s="153"/>
      <c r="BA149" s="153"/>
      <c r="BB149" s="153"/>
      <c r="BC149" s="153"/>
      <c r="BD149" s="153"/>
      <c r="BE149" s="153"/>
      <c r="BF149" s="153"/>
      <c r="BG149" s="153"/>
      <c r="BS149" s="13">
        <v>2</v>
      </c>
      <c r="BT149" s="123">
        <v>44491</v>
      </c>
      <c r="BU149" s="116" t="s">
        <v>8</v>
      </c>
      <c r="BV149" s="115" t="s">
        <v>482</v>
      </c>
      <c r="BW149" s="116" t="s">
        <v>502</v>
      </c>
      <c r="BX149" s="115">
        <v>18400</v>
      </c>
      <c r="BY149" s="115">
        <v>41.7</v>
      </c>
      <c r="BZ149" s="115">
        <v>47.945</v>
      </c>
      <c r="CA149" s="119">
        <v>-3216.6708800000001</v>
      </c>
      <c r="CB149" s="115">
        <v>1.1497601918465228</v>
      </c>
      <c r="CC149" s="115">
        <v>500</v>
      </c>
      <c r="CD149" s="115">
        <v>50</v>
      </c>
      <c r="CE149" s="119">
        <v>20850</v>
      </c>
    </row>
    <row r="150" spans="1:83" hidden="1">
      <c r="A150" s="13">
        <f t="shared" si="244"/>
        <v>143</v>
      </c>
      <c r="B150" s="123">
        <v>44657</v>
      </c>
      <c r="C150" s="116" t="s">
        <v>6</v>
      </c>
      <c r="D150" s="116">
        <v>0</v>
      </c>
      <c r="E150" s="115" t="s">
        <v>632</v>
      </c>
      <c r="F150" s="116" t="s">
        <v>126</v>
      </c>
      <c r="G150" s="115"/>
      <c r="H150" s="117">
        <v>44679</v>
      </c>
      <c r="I150" s="115">
        <v>3750</v>
      </c>
      <c r="J150" s="115">
        <v>246.3</v>
      </c>
      <c r="K150" s="115">
        <v>219.05</v>
      </c>
      <c r="L150" s="119">
        <f t="shared" ca="1" si="401"/>
        <v>0</v>
      </c>
      <c r="M150" s="119">
        <f t="shared" si="402"/>
        <v>0</v>
      </c>
      <c r="N150" s="115">
        <f t="shared" si="447"/>
        <v>0.88936256597645147</v>
      </c>
      <c r="O150" s="156">
        <f t="shared" si="448"/>
        <v>184.72500000000002</v>
      </c>
      <c r="P150" s="160">
        <f t="shared" si="245"/>
        <v>0</v>
      </c>
      <c r="Q150" s="160" t="e">
        <f t="shared" si="449"/>
        <v>#N/A</v>
      </c>
      <c r="R150" s="153" t="e">
        <f t="shared" ca="1" si="403"/>
        <v>#VALUE!</v>
      </c>
      <c r="S150" s="119">
        <f t="shared" si="450"/>
        <v>24.629999999999995</v>
      </c>
      <c r="T150" s="115" t="e">
        <f>VLOOKUP(TRIM($F150),Reference!B:C,2,0)</f>
        <v>#VALUE!</v>
      </c>
      <c r="U150" s="170">
        <f t="shared" ca="1" si="451"/>
        <v>0</v>
      </c>
      <c r="V150" s="120" t="str">
        <f t="shared" si="395"/>
        <v>IEX22APRFUT</v>
      </c>
      <c r="W150" s="158" t="e">
        <f>VLOOKUP($V150,Reference!BA:BD,4,0)</f>
        <v>#N/A</v>
      </c>
      <c r="X150" s="160">
        <f t="shared" ca="1" si="396"/>
        <v>0</v>
      </c>
      <c r="Y150" s="160">
        <f t="shared" ca="1" si="397"/>
        <v>0</v>
      </c>
      <c r="Z150" s="160">
        <f t="shared" ca="1" si="404"/>
        <v>0</v>
      </c>
      <c r="AA150" s="160">
        <f t="shared" ca="1" si="398"/>
        <v>0</v>
      </c>
      <c r="AB150" s="160">
        <f t="shared" ca="1" si="399"/>
        <v>0</v>
      </c>
      <c r="AC150" s="119">
        <f t="shared" ca="1" si="400"/>
        <v>0</v>
      </c>
      <c r="AD150" s="115">
        <f t="shared" ca="1" si="452"/>
        <v>-1.3835616438356164</v>
      </c>
      <c r="AE150" s="115">
        <f t="shared" si="453"/>
        <v>20</v>
      </c>
      <c r="AF150" s="115"/>
      <c r="AG150" s="115"/>
      <c r="AH150" s="115">
        <f t="shared" si="246"/>
        <v>0</v>
      </c>
      <c r="AI150" s="115"/>
      <c r="AJ150" s="115">
        <f t="shared" si="247"/>
        <v>0</v>
      </c>
      <c r="AK150" s="115"/>
      <c r="AL150" s="142"/>
      <c r="AM150" s="153"/>
      <c r="AN150" s="153"/>
      <c r="AO150" s="153"/>
      <c r="AP150" s="153"/>
      <c r="AQ150" s="153"/>
      <c r="AR150" s="153"/>
      <c r="AS150" s="153"/>
      <c r="AT150" s="153"/>
      <c r="AU150" s="153"/>
      <c r="AV150" s="153"/>
      <c r="AW150" s="153"/>
      <c r="AX150" s="153"/>
      <c r="AY150" s="153"/>
      <c r="AZ150" s="153"/>
      <c r="BA150" s="153"/>
      <c r="BB150" s="153"/>
      <c r="BC150" s="153"/>
      <c r="BD150" s="153"/>
      <c r="BE150" s="153"/>
      <c r="BF150" s="153"/>
      <c r="BG150" s="153"/>
      <c r="BS150" s="13">
        <v>2</v>
      </c>
      <c r="BT150" s="123">
        <v>44491</v>
      </c>
      <c r="BU150" s="116" t="s">
        <v>8</v>
      </c>
      <c r="BV150" s="115" t="s">
        <v>482</v>
      </c>
      <c r="BW150" s="116" t="s">
        <v>502</v>
      </c>
      <c r="BX150" s="115">
        <v>18400</v>
      </c>
      <c r="BY150" s="115">
        <v>41.7</v>
      </c>
      <c r="BZ150" s="115">
        <v>47.945</v>
      </c>
      <c r="CA150" s="119">
        <v>-3216.6708800000001</v>
      </c>
      <c r="CB150" s="115">
        <v>1.1497601918465228</v>
      </c>
      <c r="CC150" s="115">
        <v>500</v>
      </c>
      <c r="CD150" s="115">
        <v>50</v>
      </c>
      <c r="CE150" s="119">
        <v>20850</v>
      </c>
    </row>
    <row r="151" spans="1:83" hidden="1">
      <c r="A151" s="13">
        <f t="shared" si="244"/>
        <v>144</v>
      </c>
      <c r="B151" s="123">
        <v>44657</v>
      </c>
      <c r="C151" s="116" t="s">
        <v>6</v>
      </c>
      <c r="D151" s="116">
        <v>1</v>
      </c>
      <c r="E151" s="115" t="s">
        <v>632</v>
      </c>
      <c r="F151" s="116" t="s">
        <v>130</v>
      </c>
      <c r="G151" s="115"/>
      <c r="H151" s="117">
        <v>44679</v>
      </c>
      <c r="I151" s="115">
        <v>6750</v>
      </c>
      <c r="J151" s="115">
        <v>289.5</v>
      </c>
      <c r="K151" s="115">
        <v>290.2</v>
      </c>
      <c r="L151" s="119">
        <f t="shared" ca="1" si="401"/>
        <v>0</v>
      </c>
      <c r="M151" s="119">
        <f t="shared" si="402"/>
        <v>4724.9999999999236</v>
      </c>
      <c r="N151" s="115">
        <f t="shared" si="447"/>
        <v>1.0024179620034541</v>
      </c>
      <c r="O151" s="156">
        <f t="shared" si="448"/>
        <v>217.125</v>
      </c>
      <c r="P151" s="160">
        <f t="shared" si="245"/>
        <v>1954125</v>
      </c>
      <c r="Q151" s="160" t="e">
        <f t="shared" si="449"/>
        <v>#N/A</v>
      </c>
      <c r="R151" s="153" t="e">
        <f t="shared" ca="1" si="403"/>
        <v>#VALUE!</v>
      </c>
      <c r="S151" s="119">
        <f t="shared" si="450"/>
        <v>28.949999999999992</v>
      </c>
      <c r="T151" s="115" t="e">
        <f>VLOOKUP(TRIM($F151),Reference!B:C,2,0)</f>
        <v>#VALUE!</v>
      </c>
      <c r="U151" s="170">
        <f t="shared" ca="1" si="451"/>
        <v>0</v>
      </c>
      <c r="V151" s="120" t="str">
        <f t="shared" si="395"/>
        <v>TATAPOWER22APRFUT</v>
      </c>
      <c r="W151" s="158" t="e">
        <f>VLOOKUP($V151,Reference!BA:BD,4,0)</f>
        <v>#N/A</v>
      </c>
      <c r="X151" s="160">
        <f t="shared" ca="1" si="396"/>
        <v>0</v>
      </c>
      <c r="Y151" s="160">
        <f t="shared" ca="1" si="397"/>
        <v>0</v>
      </c>
      <c r="Z151" s="160">
        <f t="shared" ca="1" si="404"/>
        <v>0</v>
      </c>
      <c r="AA151" s="160">
        <f t="shared" ca="1" si="398"/>
        <v>0</v>
      </c>
      <c r="AB151" s="160">
        <f t="shared" ca="1" si="399"/>
        <v>0</v>
      </c>
      <c r="AC151" s="119">
        <f t="shared" ca="1" si="400"/>
        <v>0</v>
      </c>
      <c r="AD151" s="115">
        <f t="shared" ca="1" si="452"/>
        <v>-1.3835616438356164</v>
      </c>
      <c r="AE151" s="115">
        <f t="shared" si="453"/>
        <v>20</v>
      </c>
      <c r="AF151" s="115"/>
      <c r="AG151" s="115"/>
      <c r="AH151" s="115">
        <f t="shared" si="246"/>
        <v>0</v>
      </c>
      <c r="AI151" s="115"/>
      <c r="AJ151" s="115">
        <f t="shared" si="247"/>
        <v>58.623750000000001</v>
      </c>
      <c r="AK151" s="115"/>
      <c r="AL151" s="142"/>
      <c r="AM151" s="153"/>
      <c r="AN151" s="153"/>
      <c r="AO151" s="153"/>
      <c r="AP151" s="153"/>
      <c r="AQ151" s="153"/>
      <c r="AR151" s="153"/>
      <c r="AS151" s="153"/>
      <c r="AT151" s="153"/>
      <c r="AU151" s="153"/>
      <c r="AV151" s="153"/>
      <c r="AW151" s="153"/>
      <c r="AX151" s="153"/>
      <c r="AY151" s="153"/>
      <c r="AZ151" s="153"/>
      <c r="BA151" s="153"/>
      <c r="BB151" s="153"/>
      <c r="BC151" s="153"/>
      <c r="BD151" s="153"/>
      <c r="BE151" s="153"/>
      <c r="BF151" s="153"/>
      <c r="BG151" s="153"/>
      <c r="BS151" s="13">
        <v>2</v>
      </c>
      <c r="BT151" s="123">
        <v>44491</v>
      </c>
      <c r="BU151" s="116" t="s">
        <v>8</v>
      </c>
      <c r="BV151" s="115" t="s">
        <v>482</v>
      </c>
      <c r="BW151" s="116" t="s">
        <v>502</v>
      </c>
      <c r="BX151" s="115">
        <v>18400</v>
      </c>
      <c r="BY151" s="115">
        <v>41.7</v>
      </c>
      <c r="BZ151" s="115">
        <v>47.945</v>
      </c>
      <c r="CA151" s="119">
        <v>-3216.6708800000001</v>
      </c>
      <c r="CB151" s="115">
        <v>1.1497601918465228</v>
      </c>
      <c r="CC151" s="115">
        <v>500</v>
      </c>
      <c r="CD151" s="115">
        <v>50</v>
      </c>
      <c r="CE151" s="119">
        <v>20850</v>
      </c>
    </row>
    <row r="152" spans="1:83" hidden="1">
      <c r="A152" s="13">
        <f t="shared" si="244"/>
        <v>145</v>
      </c>
      <c r="B152" s="123">
        <v>44657</v>
      </c>
      <c r="C152" s="116" t="s">
        <v>6</v>
      </c>
      <c r="D152" s="116">
        <v>0</v>
      </c>
      <c r="E152" s="115" t="s">
        <v>632</v>
      </c>
      <c r="F152" s="116" t="s">
        <v>130</v>
      </c>
      <c r="G152" s="115"/>
      <c r="H152" s="117">
        <v>44679</v>
      </c>
      <c r="I152" s="115">
        <v>6750</v>
      </c>
      <c r="J152" s="115">
        <v>293.39999999999998</v>
      </c>
      <c r="K152" s="115">
        <v>247.65</v>
      </c>
      <c r="L152" s="119">
        <f t="shared" ca="1" si="401"/>
        <v>0</v>
      </c>
      <c r="M152" s="119">
        <f t="shared" si="402"/>
        <v>0</v>
      </c>
      <c r="N152" s="115">
        <f t="shared" ref="N152:N153" si="454">K152/$J152</f>
        <v>0.84406952965235182</v>
      </c>
      <c r="O152" s="156">
        <f t="shared" ref="O152:O153" si="455">J152*(1+$O$6*IF(C152="B",-1,1))</f>
        <v>220.04999999999998</v>
      </c>
      <c r="P152" s="160">
        <f t="shared" si="245"/>
        <v>0</v>
      </c>
      <c r="Q152" s="160" t="e">
        <f t="shared" ref="Q152:Q153" si="456">(W152-J152)*I152*IF(C152="B",1,-1)*IF(K152=0,1,0)</f>
        <v>#N/A</v>
      </c>
      <c r="R152" s="153" t="e">
        <f t="shared" ca="1" si="403"/>
        <v>#VALUE!</v>
      </c>
      <c r="S152" s="119">
        <f t="shared" ref="S152:S153" si="457">(1-$S$6)*J152</f>
        <v>29.339999999999993</v>
      </c>
      <c r="T152" s="115" t="e">
        <f>VLOOKUP(TRIM($F152),Reference!B:C,2,0)</f>
        <v>#VALUE!</v>
      </c>
      <c r="U152" s="170">
        <f t="shared" ref="U152:U153" ca="1" si="458">AC152</f>
        <v>0</v>
      </c>
      <c r="V152" s="120" t="str">
        <f t="shared" si="395"/>
        <v>TATAPOWER22APRFUT</v>
      </c>
      <c r="W152" s="158" t="e">
        <f>VLOOKUP($V152,Reference!BA:BD,4,0)</f>
        <v>#N/A</v>
      </c>
      <c r="X152" s="160">
        <f t="shared" ca="1" si="396"/>
        <v>0</v>
      </c>
      <c r="Y152" s="160">
        <f t="shared" ca="1" si="397"/>
        <v>0</v>
      </c>
      <c r="Z152" s="160">
        <f t="shared" ca="1" si="404"/>
        <v>0</v>
      </c>
      <c r="AA152" s="160">
        <f t="shared" ca="1" si="398"/>
        <v>0</v>
      </c>
      <c r="AB152" s="160">
        <f t="shared" ca="1" si="399"/>
        <v>0</v>
      </c>
      <c r="AC152" s="119">
        <f t="shared" ca="1" si="400"/>
        <v>0</v>
      </c>
      <c r="AD152" s="115">
        <f t="shared" ref="AD152:AD153" ca="1" si="459">(H152-TODAY())/365</f>
        <v>-1.3835616438356164</v>
      </c>
      <c r="AE152" s="115">
        <f t="shared" ref="AE152:AE153" si="460">IF(I152&lt;&gt;0,20,0)</f>
        <v>20</v>
      </c>
      <c r="AF152" s="115"/>
      <c r="AG152" s="115"/>
      <c r="AH152" s="115">
        <f t="shared" si="246"/>
        <v>0</v>
      </c>
      <c r="AI152" s="115"/>
      <c r="AJ152" s="115">
        <f t="shared" si="247"/>
        <v>0</v>
      </c>
      <c r="AK152" s="115"/>
      <c r="AL152" s="142"/>
      <c r="AM152" s="153"/>
      <c r="AN152" s="153"/>
      <c r="AO152" s="153"/>
      <c r="AP152" s="153"/>
      <c r="AQ152" s="153"/>
      <c r="AR152" s="153"/>
      <c r="AS152" s="153"/>
      <c r="AT152" s="153"/>
      <c r="AU152" s="153"/>
      <c r="AV152" s="153"/>
      <c r="AW152" s="153"/>
      <c r="AX152" s="153"/>
      <c r="AY152" s="153"/>
      <c r="AZ152" s="153"/>
      <c r="BA152" s="153"/>
      <c r="BB152" s="153"/>
      <c r="BC152" s="153"/>
      <c r="BD152" s="153"/>
      <c r="BE152" s="153"/>
      <c r="BF152" s="153"/>
      <c r="BG152" s="153"/>
      <c r="BS152" s="13">
        <v>2</v>
      </c>
      <c r="BT152" s="123">
        <v>44491</v>
      </c>
      <c r="BU152" s="116" t="s">
        <v>8</v>
      </c>
      <c r="BV152" s="115" t="s">
        <v>482</v>
      </c>
      <c r="BW152" s="116" t="s">
        <v>502</v>
      </c>
      <c r="BX152" s="115">
        <v>18400</v>
      </c>
      <c r="BY152" s="115">
        <v>41.7</v>
      </c>
      <c r="BZ152" s="115">
        <v>47.945</v>
      </c>
      <c r="CA152" s="119">
        <v>-3216.6708800000001</v>
      </c>
      <c r="CB152" s="115">
        <v>1.1497601918465228</v>
      </c>
      <c r="CC152" s="115">
        <v>500</v>
      </c>
      <c r="CD152" s="115">
        <v>50</v>
      </c>
      <c r="CE152" s="119">
        <v>20850</v>
      </c>
    </row>
    <row r="153" spans="1:83" hidden="1">
      <c r="A153" s="13">
        <f t="shared" si="244"/>
        <v>146</v>
      </c>
      <c r="B153" s="123">
        <v>44657</v>
      </c>
      <c r="C153" s="116" t="s">
        <v>8</v>
      </c>
      <c r="D153" s="116">
        <v>1</v>
      </c>
      <c r="E153" s="115" t="s">
        <v>481</v>
      </c>
      <c r="F153" s="116" t="s">
        <v>130</v>
      </c>
      <c r="G153" s="115">
        <v>300</v>
      </c>
      <c r="H153" s="117">
        <v>44679</v>
      </c>
      <c r="I153" s="115">
        <v>6750</v>
      </c>
      <c r="J153" s="115">
        <v>10.5</v>
      </c>
      <c r="K153" s="115">
        <v>13.2</v>
      </c>
      <c r="L153" s="119">
        <f t="shared" ca="1" si="401"/>
        <v>0</v>
      </c>
      <c r="M153" s="119">
        <f t="shared" si="402"/>
        <v>-18224.999999999996</v>
      </c>
      <c r="N153" s="115">
        <f t="shared" si="454"/>
        <v>1.2571428571428571</v>
      </c>
      <c r="O153" s="156">
        <f t="shared" si="455"/>
        <v>13.125</v>
      </c>
      <c r="P153" s="160">
        <f t="shared" si="245"/>
        <v>70875</v>
      </c>
      <c r="Q153" s="160" t="e">
        <f t="shared" si="456"/>
        <v>#N/A</v>
      </c>
      <c r="R153" s="153" t="e">
        <f t="shared" ca="1" si="403"/>
        <v>#VALUE!</v>
      </c>
      <c r="S153" s="119">
        <f t="shared" si="457"/>
        <v>1.0499999999999998</v>
      </c>
      <c r="T153" s="115" t="e">
        <f>VLOOKUP(TRIM($F153),Reference!B:C,2,0)</f>
        <v>#VALUE!</v>
      </c>
      <c r="U153" s="170">
        <f t="shared" ca="1" si="458"/>
        <v>0</v>
      </c>
      <c r="V153" s="120" t="str">
        <f t="shared" si="395"/>
        <v>TATAPOWER22APR300CE</v>
      </c>
      <c r="W153" s="158" t="e">
        <f>VLOOKUP($V153,Reference!BA:BD,4,0)</f>
        <v>#N/A</v>
      </c>
      <c r="X153" s="160">
        <f t="shared" ca="1" si="396"/>
        <v>0</v>
      </c>
      <c r="Y153" s="160">
        <f t="shared" ca="1" si="397"/>
        <v>0</v>
      </c>
      <c r="Z153" s="160">
        <f t="shared" ca="1" si="404"/>
        <v>0</v>
      </c>
      <c r="AA153" s="160">
        <f t="shared" ca="1" si="398"/>
        <v>0</v>
      </c>
      <c r="AB153" s="160">
        <f t="shared" ca="1" si="399"/>
        <v>0</v>
      </c>
      <c r="AC153" s="119">
        <f t="shared" ca="1" si="400"/>
        <v>0</v>
      </c>
      <c r="AD153" s="115">
        <f t="shared" ca="1" si="459"/>
        <v>-1.3835616438356164</v>
      </c>
      <c r="AE153" s="115">
        <f t="shared" si="460"/>
        <v>20</v>
      </c>
      <c r="AF153" s="115"/>
      <c r="AG153" s="115"/>
      <c r="AH153" s="115">
        <f t="shared" si="246"/>
        <v>35.4375</v>
      </c>
      <c r="AI153" s="115"/>
      <c r="AJ153" s="115">
        <f t="shared" si="247"/>
        <v>0</v>
      </c>
      <c r="AK153" s="115"/>
      <c r="AL153" s="142"/>
      <c r="AM153" s="153"/>
      <c r="AN153" s="153"/>
      <c r="AO153" s="153"/>
      <c r="AP153" s="153"/>
      <c r="AQ153" s="153"/>
      <c r="AR153" s="153"/>
      <c r="AS153" s="153"/>
      <c r="AT153" s="153"/>
      <c r="AU153" s="153"/>
      <c r="AV153" s="153"/>
      <c r="AW153" s="153"/>
      <c r="AX153" s="153"/>
      <c r="AY153" s="153"/>
      <c r="AZ153" s="153"/>
      <c r="BA153" s="153"/>
      <c r="BB153" s="153"/>
      <c r="BC153" s="153"/>
      <c r="BD153" s="153"/>
      <c r="BE153" s="153"/>
      <c r="BF153" s="153"/>
      <c r="BG153" s="153"/>
      <c r="BS153" s="13">
        <v>2</v>
      </c>
      <c r="BT153" s="123">
        <v>44491</v>
      </c>
      <c r="BU153" s="116" t="s">
        <v>8</v>
      </c>
      <c r="BV153" s="115" t="s">
        <v>482</v>
      </c>
      <c r="BW153" s="116" t="s">
        <v>502</v>
      </c>
      <c r="BX153" s="115">
        <v>18400</v>
      </c>
      <c r="BY153" s="115">
        <v>41.7</v>
      </c>
      <c r="BZ153" s="115">
        <v>47.945</v>
      </c>
      <c r="CA153" s="119">
        <v>-3216.6708800000001</v>
      </c>
      <c r="CB153" s="115">
        <v>1.1497601918465228</v>
      </c>
      <c r="CC153" s="115">
        <v>500</v>
      </c>
      <c r="CD153" s="115">
        <v>50</v>
      </c>
      <c r="CE153" s="119">
        <v>20850</v>
      </c>
    </row>
    <row r="154" spans="1:83" hidden="1">
      <c r="A154" s="13">
        <f t="shared" si="244"/>
        <v>147</v>
      </c>
      <c r="B154" s="123">
        <v>44657</v>
      </c>
      <c r="C154" s="116" t="s">
        <v>8</v>
      </c>
      <c r="D154" s="116">
        <v>1</v>
      </c>
      <c r="E154" s="115" t="s">
        <v>481</v>
      </c>
      <c r="F154" s="116" t="s">
        <v>130</v>
      </c>
      <c r="G154" s="115">
        <v>315</v>
      </c>
      <c r="H154" s="117">
        <v>44679</v>
      </c>
      <c r="I154" s="115">
        <v>6750</v>
      </c>
      <c r="J154" s="115">
        <v>8.25</v>
      </c>
      <c r="K154" s="115">
        <v>1.65</v>
      </c>
      <c r="L154" s="119">
        <f t="shared" ref="L154" ca="1" si="461">IF(AND(K154&lt;&gt;0,I154&lt;&gt;0),(IF(C154="B",1,-1))*(K154-J154)*I154-AK154*2,0)*$D154*IF(MONTH($B$2)=MONTH($H154),1,0)</f>
        <v>0</v>
      </c>
      <c r="M154" s="119">
        <f t="shared" ref="M154" si="462">IF(AND(K154&lt;&gt;0,I154&lt;&gt;0),(IF(C154="B",1,-1))*(K154-J154)*I154-AK154*2,0)*$D154</f>
        <v>44550</v>
      </c>
      <c r="N154" s="115">
        <f t="shared" ref="N154" si="463">K154/$J154</f>
        <v>0.19999999999999998</v>
      </c>
      <c r="O154" s="156">
        <f t="shared" ref="O154" si="464">J154*(1+$O$6*IF(C154="B",-1,1))</f>
        <v>10.3125</v>
      </c>
      <c r="P154" s="160">
        <f t="shared" si="245"/>
        <v>55687.5</v>
      </c>
      <c r="Q154" s="160" t="e">
        <f t="shared" ref="Q154" si="465">(W154-J154)*I154*IF(C154="B",1,-1)*IF(K154=0,1,0)</f>
        <v>#N/A</v>
      </c>
      <c r="R154" s="153" t="e">
        <f t="shared" ca="1" si="403"/>
        <v>#VALUE!</v>
      </c>
      <c r="S154" s="119">
        <f t="shared" ref="S154" si="466">(1-$S$6)*J154</f>
        <v>0.82499999999999984</v>
      </c>
      <c r="T154" s="115" t="e">
        <f>VLOOKUP(TRIM($F154),Reference!B:C,2,0)</f>
        <v>#VALUE!</v>
      </c>
      <c r="U154" s="170">
        <f t="shared" ref="U154" ca="1" si="467">AC154</f>
        <v>0</v>
      </c>
      <c r="V154" s="120" t="str">
        <f t="shared" si="395"/>
        <v>TATAPOWER22APR315CE</v>
      </c>
      <c r="W154" s="158" t="e">
        <f>VLOOKUP($V154,Reference!BA:BD,4,0)</f>
        <v>#N/A</v>
      </c>
      <c r="X154" s="160">
        <f t="shared" ca="1" si="396"/>
        <v>0</v>
      </c>
      <c r="Y154" s="160">
        <f t="shared" ca="1" si="397"/>
        <v>0</v>
      </c>
      <c r="Z154" s="160">
        <f t="shared" ca="1" si="404"/>
        <v>0</v>
      </c>
      <c r="AA154" s="160">
        <f t="shared" ca="1" si="398"/>
        <v>0</v>
      </c>
      <c r="AB154" s="160">
        <f t="shared" ca="1" si="399"/>
        <v>0</v>
      </c>
      <c r="AC154" s="119">
        <f t="shared" ca="1" si="400"/>
        <v>0</v>
      </c>
      <c r="AD154" s="115">
        <f t="shared" ref="AD154" ca="1" si="468">(H154-TODAY())/365</f>
        <v>-1.3835616438356164</v>
      </c>
      <c r="AE154" s="115">
        <f t="shared" ref="AE154" si="469">IF(I154&lt;&gt;0,20,0)</f>
        <v>20</v>
      </c>
      <c r="AF154" s="115"/>
      <c r="AG154" s="115"/>
      <c r="AH154" s="115">
        <f t="shared" si="246"/>
        <v>27.84375</v>
      </c>
      <c r="AI154" s="115"/>
      <c r="AJ154" s="115">
        <f t="shared" si="247"/>
        <v>0</v>
      </c>
      <c r="AK154" s="115"/>
      <c r="AL154" s="142"/>
      <c r="AM154" s="153"/>
      <c r="AN154" s="153"/>
      <c r="AO154" s="153"/>
      <c r="AP154" s="153"/>
      <c r="AQ154" s="153"/>
      <c r="AR154" s="153"/>
      <c r="AS154" s="153"/>
      <c r="AT154" s="153"/>
      <c r="AU154" s="153"/>
      <c r="AV154" s="153"/>
      <c r="AW154" s="153"/>
      <c r="AX154" s="153"/>
      <c r="AY154" s="153"/>
      <c r="AZ154" s="153"/>
      <c r="BA154" s="153"/>
      <c r="BB154" s="153"/>
      <c r="BC154" s="153"/>
      <c r="BD154" s="153"/>
      <c r="BE154" s="153"/>
      <c r="BF154" s="153"/>
      <c r="BG154" s="153"/>
      <c r="BS154" s="13">
        <v>2</v>
      </c>
      <c r="BT154" s="123">
        <v>44491</v>
      </c>
      <c r="BU154" s="116" t="s">
        <v>8</v>
      </c>
      <c r="BV154" s="115" t="s">
        <v>482</v>
      </c>
      <c r="BW154" s="116" t="s">
        <v>502</v>
      </c>
      <c r="BX154" s="115">
        <v>18400</v>
      </c>
      <c r="BY154" s="115">
        <v>41.7</v>
      </c>
      <c r="BZ154" s="115">
        <v>47.945</v>
      </c>
      <c r="CA154" s="119">
        <v>-3216.6708800000001</v>
      </c>
      <c r="CB154" s="115">
        <v>1.1497601918465228</v>
      </c>
      <c r="CC154" s="115">
        <v>500</v>
      </c>
      <c r="CD154" s="115">
        <v>50</v>
      </c>
      <c r="CE154" s="119">
        <v>20850</v>
      </c>
    </row>
    <row r="155" spans="1:83" hidden="1">
      <c r="A155" s="13">
        <f t="shared" si="244"/>
        <v>148</v>
      </c>
      <c r="B155" s="123">
        <v>44657</v>
      </c>
      <c r="C155" s="116" t="s">
        <v>8</v>
      </c>
      <c r="D155" s="116">
        <v>1</v>
      </c>
      <c r="E155" s="115" t="s">
        <v>481</v>
      </c>
      <c r="F155" s="116" t="s">
        <v>130</v>
      </c>
      <c r="G155" s="115">
        <v>320</v>
      </c>
      <c r="H155" s="117">
        <v>44679</v>
      </c>
      <c r="I155" s="115">
        <v>6750</v>
      </c>
      <c r="J155" s="115">
        <v>7.2</v>
      </c>
      <c r="K155" s="115">
        <v>1.4</v>
      </c>
      <c r="L155" s="119">
        <f t="shared" ref="L155" ca="1" si="470">IF(AND(K155&lt;&gt;0,I155&lt;&gt;0),(IF(C155="B",1,-1))*(K155-J155)*I155-AK155*2,0)*$D155*IF(MONTH($B$2)=MONTH($H155),1,0)</f>
        <v>0</v>
      </c>
      <c r="M155" s="119">
        <f t="shared" ref="M155" si="471">IF(AND(K155&lt;&gt;0,I155&lt;&gt;0),(IF(C155="B",1,-1))*(K155-J155)*I155-AK155*2,0)*$D155</f>
        <v>39150.000000000007</v>
      </c>
      <c r="N155" s="115">
        <f t="shared" ref="N155" si="472">K155/$J155</f>
        <v>0.19444444444444442</v>
      </c>
      <c r="O155" s="156">
        <f t="shared" ref="O155" si="473">J155*(1+$O$6*IF(C155="B",-1,1))</f>
        <v>9</v>
      </c>
      <c r="P155" s="160">
        <f t="shared" si="245"/>
        <v>48600</v>
      </c>
      <c r="Q155" s="160" t="e">
        <f t="shared" ref="Q155" si="474">(W155-J155)*I155*IF(C155="B",1,-1)*IF(K155=0,1,0)</f>
        <v>#N/A</v>
      </c>
      <c r="R155" s="153" t="e">
        <f t="shared" ca="1" si="403"/>
        <v>#VALUE!</v>
      </c>
      <c r="S155" s="119">
        <f t="shared" ref="S155" si="475">(1-$S$6)*J155</f>
        <v>0.71999999999999986</v>
      </c>
      <c r="T155" s="115" t="e">
        <f>VLOOKUP(TRIM($F155),Reference!B:C,2,0)</f>
        <v>#VALUE!</v>
      </c>
      <c r="U155" s="170">
        <f t="shared" ref="U155" ca="1" si="476">AC155</f>
        <v>0</v>
      </c>
      <c r="V155" s="120" t="str">
        <f t="shared" si="395"/>
        <v>TATAPOWER22APR320CE</v>
      </c>
      <c r="W155" s="158" t="e">
        <f>VLOOKUP($V155,Reference!BA:BD,4,0)</f>
        <v>#N/A</v>
      </c>
      <c r="X155" s="160">
        <f t="shared" ca="1" si="396"/>
        <v>0</v>
      </c>
      <c r="Y155" s="160">
        <f t="shared" ca="1" si="397"/>
        <v>0</v>
      </c>
      <c r="Z155" s="160">
        <f t="shared" ca="1" si="404"/>
        <v>0</v>
      </c>
      <c r="AA155" s="160">
        <f t="shared" ca="1" si="398"/>
        <v>0</v>
      </c>
      <c r="AB155" s="160">
        <f t="shared" ca="1" si="399"/>
        <v>0</v>
      </c>
      <c r="AC155" s="119">
        <f t="shared" ca="1" si="400"/>
        <v>0</v>
      </c>
      <c r="AD155" s="115">
        <f t="shared" ref="AD155" ca="1" si="477">(H155-TODAY())/365</f>
        <v>-1.3835616438356164</v>
      </c>
      <c r="AE155" s="115">
        <f t="shared" ref="AE155" si="478">IF(I155&lt;&gt;0,20,0)</f>
        <v>20</v>
      </c>
      <c r="AF155" s="115"/>
      <c r="AG155" s="115"/>
      <c r="AH155" s="115">
        <f t="shared" si="246"/>
        <v>24.3</v>
      </c>
      <c r="AI155" s="115"/>
      <c r="AJ155" s="115">
        <f t="shared" si="247"/>
        <v>0</v>
      </c>
      <c r="AK155" s="115"/>
      <c r="AL155" s="142"/>
      <c r="AM155" s="153"/>
      <c r="AN155" s="153"/>
      <c r="AO155" s="153"/>
      <c r="AP155" s="153"/>
      <c r="AQ155" s="153"/>
      <c r="AR155" s="153"/>
      <c r="AS155" s="153"/>
      <c r="AT155" s="153"/>
      <c r="AU155" s="153"/>
      <c r="AV155" s="153"/>
      <c r="AW155" s="153"/>
      <c r="AX155" s="153"/>
      <c r="AY155" s="153"/>
      <c r="AZ155" s="153"/>
      <c r="BA155" s="153"/>
      <c r="BB155" s="153"/>
      <c r="BC155" s="153"/>
      <c r="BD155" s="153"/>
      <c r="BE155" s="153"/>
      <c r="BF155" s="153"/>
      <c r="BG155" s="153"/>
      <c r="BS155" s="13">
        <v>2</v>
      </c>
      <c r="BT155" s="123">
        <v>44491</v>
      </c>
      <c r="BU155" s="116" t="s">
        <v>8</v>
      </c>
      <c r="BV155" s="115" t="s">
        <v>482</v>
      </c>
      <c r="BW155" s="116" t="s">
        <v>502</v>
      </c>
      <c r="BX155" s="115">
        <v>18400</v>
      </c>
      <c r="BY155" s="115">
        <v>41.7</v>
      </c>
      <c r="BZ155" s="115">
        <v>47.945</v>
      </c>
      <c r="CA155" s="119">
        <v>-3216.6708800000001</v>
      </c>
      <c r="CB155" s="115">
        <v>1.1497601918465228</v>
      </c>
      <c r="CC155" s="115">
        <v>500</v>
      </c>
      <c r="CD155" s="115">
        <v>50</v>
      </c>
      <c r="CE155" s="119">
        <v>20850</v>
      </c>
    </row>
    <row r="156" spans="1:83" hidden="1">
      <c r="A156" s="13">
        <f t="shared" si="244"/>
        <v>149</v>
      </c>
      <c r="B156" s="123">
        <v>44657</v>
      </c>
      <c r="C156" s="116" t="s">
        <v>8</v>
      </c>
      <c r="D156" s="116">
        <v>1</v>
      </c>
      <c r="E156" s="115" t="s">
        <v>481</v>
      </c>
      <c r="F156" s="116" t="s">
        <v>130</v>
      </c>
      <c r="G156" s="115">
        <v>280</v>
      </c>
      <c r="H156" s="117">
        <v>44679</v>
      </c>
      <c r="I156" s="115">
        <v>6750</v>
      </c>
      <c r="J156" s="115">
        <v>22.2</v>
      </c>
      <c r="K156" s="115">
        <v>12.25</v>
      </c>
      <c r="L156" s="119">
        <f t="shared" ref="L156:L157" ca="1" si="479">IF(AND(K156&lt;&gt;0,I156&lt;&gt;0),(IF(C156="B",1,-1))*(K156-J156)*I156-AK156*2,0)*$D156*IF(MONTH($B$2)=MONTH($H156),1,0)</f>
        <v>0</v>
      </c>
      <c r="M156" s="119">
        <f t="shared" ref="M156:M157" si="480">IF(AND(K156&lt;&gt;0,I156&lt;&gt;0),(IF(C156="B",1,-1))*(K156-J156)*I156-AK156*2,0)*$D156</f>
        <v>67162.5</v>
      </c>
      <c r="N156" s="115">
        <f t="shared" ref="N156:N157" si="481">K156/$J156</f>
        <v>0.55180180180180183</v>
      </c>
      <c r="O156" s="156">
        <f t="shared" ref="O156:O157" si="482">J156*(1+$O$6*IF(C156="B",-1,1))</f>
        <v>27.75</v>
      </c>
      <c r="P156" s="160">
        <f t="shared" si="245"/>
        <v>149850</v>
      </c>
      <c r="Q156" s="160" t="e">
        <f t="shared" ref="Q156:Q157" si="483">(W156-J156)*I156*IF(C156="B",1,-1)*IF(K156=0,1,0)</f>
        <v>#N/A</v>
      </c>
      <c r="R156" s="153" t="e">
        <f t="shared" ca="1" si="403"/>
        <v>#VALUE!</v>
      </c>
      <c r="S156" s="119">
        <f t="shared" ref="S156:S157" si="484">(1-$S$6)*J156</f>
        <v>2.2199999999999993</v>
      </c>
      <c r="T156" s="115" t="e">
        <f>VLOOKUP(TRIM($F156),Reference!B:C,2,0)</f>
        <v>#VALUE!</v>
      </c>
      <c r="U156" s="170">
        <f t="shared" ref="U156:U157" ca="1" si="485">AC156</f>
        <v>0</v>
      </c>
      <c r="V156" s="120" t="str">
        <f t="shared" si="395"/>
        <v>TATAPOWER22APR280CE</v>
      </c>
      <c r="W156" s="158" t="e">
        <f>VLOOKUP($V156,Reference!BA:BD,4,0)</f>
        <v>#N/A</v>
      </c>
      <c r="X156" s="160">
        <f t="shared" ca="1" si="396"/>
        <v>0</v>
      </c>
      <c r="Y156" s="160">
        <f t="shared" ca="1" si="397"/>
        <v>0</v>
      </c>
      <c r="Z156" s="160">
        <f t="shared" ca="1" si="404"/>
        <v>0</v>
      </c>
      <c r="AA156" s="160">
        <f t="shared" ca="1" si="398"/>
        <v>0</v>
      </c>
      <c r="AB156" s="160">
        <f t="shared" ca="1" si="399"/>
        <v>0</v>
      </c>
      <c r="AC156" s="119">
        <f t="shared" ca="1" si="400"/>
        <v>0</v>
      </c>
      <c r="AD156" s="115">
        <f t="shared" ref="AD156:AD157" ca="1" si="486">(H156-TODAY())/365</f>
        <v>-1.3835616438356164</v>
      </c>
      <c r="AE156" s="115">
        <f t="shared" ref="AE156:AE157" si="487">IF(I156&lt;&gt;0,20,0)</f>
        <v>20</v>
      </c>
      <c r="AF156" s="115"/>
      <c r="AG156" s="115"/>
      <c r="AH156" s="115">
        <f t="shared" si="246"/>
        <v>74.924999999999997</v>
      </c>
      <c r="AI156" s="115"/>
      <c r="AJ156" s="115">
        <f t="shared" si="247"/>
        <v>0</v>
      </c>
      <c r="AK156" s="115"/>
      <c r="AL156" s="142"/>
      <c r="AM156" s="153"/>
      <c r="AN156" s="153"/>
      <c r="AO156" s="153"/>
      <c r="AP156" s="153"/>
      <c r="AQ156" s="153"/>
      <c r="AR156" s="153"/>
      <c r="AS156" s="153"/>
      <c r="AT156" s="153"/>
      <c r="AU156" s="153"/>
      <c r="AV156" s="153"/>
      <c r="AW156" s="153"/>
      <c r="AX156" s="153"/>
      <c r="AY156" s="153"/>
      <c r="AZ156" s="153"/>
      <c r="BA156" s="153"/>
      <c r="BB156" s="153"/>
      <c r="BC156" s="153"/>
      <c r="BD156" s="153"/>
      <c r="BE156" s="153"/>
      <c r="BF156" s="153"/>
      <c r="BG156" s="153"/>
      <c r="BS156" s="13">
        <v>2</v>
      </c>
      <c r="BT156" s="123">
        <v>44491</v>
      </c>
      <c r="BU156" s="116" t="s">
        <v>8</v>
      </c>
      <c r="BV156" s="115" t="s">
        <v>482</v>
      </c>
      <c r="BW156" s="116" t="s">
        <v>502</v>
      </c>
      <c r="BX156" s="115">
        <v>18400</v>
      </c>
      <c r="BY156" s="115">
        <v>41.7</v>
      </c>
      <c r="BZ156" s="115">
        <v>47.945</v>
      </c>
      <c r="CA156" s="119">
        <v>-3216.6708800000001</v>
      </c>
      <c r="CB156" s="115">
        <v>1.1497601918465228</v>
      </c>
      <c r="CC156" s="115">
        <v>500</v>
      </c>
      <c r="CD156" s="115">
        <v>50</v>
      </c>
      <c r="CE156" s="119">
        <v>20850</v>
      </c>
    </row>
    <row r="157" spans="1:83" hidden="1">
      <c r="A157" s="13">
        <f t="shared" si="244"/>
        <v>150</v>
      </c>
      <c r="B157" s="123">
        <v>44657</v>
      </c>
      <c r="C157" s="116" t="s">
        <v>6</v>
      </c>
      <c r="D157" s="116">
        <v>0</v>
      </c>
      <c r="E157" s="115" t="s">
        <v>632</v>
      </c>
      <c r="F157" s="116" t="s">
        <v>90</v>
      </c>
      <c r="G157" s="115"/>
      <c r="H157" s="117">
        <v>44679</v>
      </c>
      <c r="I157" s="115">
        <v>150</v>
      </c>
      <c r="J157" s="115">
        <v>3736.25</v>
      </c>
      <c r="K157" s="115">
        <v>3557.3</v>
      </c>
      <c r="L157" s="119">
        <f t="shared" ca="1" si="479"/>
        <v>0</v>
      </c>
      <c r="M157" s="119">
        <f t="shared" si="480"/>
        <v>0</v>
      </c>
      <c r="N157" s="115">
        <f t="shared" si="481"/>
        <v>0.95210438273670128</v>
      </c>
      <c r="O157" s="156">
        <f t="shared" si="482"/>
        <v>2802.1875</v>
      </c>
      <c r="P157" s="160">
        <f t="shared" si="245"/>
        <v>0</v>
      </c>
      <c r="Q157" s="160" t="e">
        <f t="shared" si="483"/>
        <v>#N/A</v>
      </c>
      <c r="R157" s="153" t="e">
        <f t="shared" ca="1" si="403"/>
        <v>#VALUE!</v>
      </c>
      <c r="S157" s="119">
        <f t="shared" si="484"/>
        <v>373.62499999999994</v>
      </c>
      <c r="T157" s="115" t="e">
        <f>VLOOKUP(TRIM($F157),Reference!B:C,2,0)</f>
        <v>#VALUE!</v>
      </c>
      <c r="U157" s="170">
        <f t="shared" ca="1" si="485"/>
        <v>0</v>
      </c>
      <c r="V157" s="120" t="str">
        <f t="shared" si="395"/>
        <v>TCS22APRFUT</v>
      </c>
      <c r="W157" s="158" t="e">
        <f>VLOOKUP($V157,Reference!BA:BD,4,0)</f>
        <v>#N/A</v>
      </c>
      <c r="X157" s="160">
        <f t="shared" ca="1" si="396"/>
        <v>0</v>
      </c>
      <c r="Y157" s="160">
        <f t="shared" ca="1" si="397"/>
        <v>0</v>
      </c>
      <c r="Z157" s="160">
        <f t="shared" ca="1" si="404"/>
        <v>0</v>
      </c>
      <c r="AA157" s="160">
        <f t="shared" ca="1" si="398"/>
        <v>0</v>
      </c>
      <c r="AB157" s="160">
        <f t="shared" ca="1" si="399"/>
        <v>0</v>
      </c>
      <c r="AC157" s="119">
        <f t="shared" ca="1" si="400"/>
        <v>0</v>
      </c>
      <c r="AD157" s="115">
        <f t="shared" ca="1" si="486"/>
        <v>-1.3835616438356164</v>
      </c>
      <c r="AE157" s="115">
        <f t="shared" si="487"/>
        <v>20</v>
      </c>
      <c r="AF157" s="115"/>
      <c r="AG157" s="115"/>
      <c r="AH157" s="115">
        <f t="shared" si="246"/>
        <v>0</v>
      </c>
      <c r="AI157" s="115"/>
      <c r="AJ157" s="115">
        <f t="shared" si="247"/>
        <v>0</v>
      </c>
      <c r="AK157" s="115"/>
      <c r="AL157" s="142"/>
      <c r="AM157" s="153"/>
      <c r="AN157" s="153"/>
      <c r="AO157" s="153"/>
      <c r="AP157" s="153"/>
      <c r="AQ157" s="153"/>
      <c r="AR157" s="153"/>
      <c r="AS157" s="153"/>
      <c r="AT157" s="153"/>
      <c r="AU157" s="153"/>
      <c r="AV157" s="153"/>
      <c r="AW157" s="153"/>
      <c r="AX157" s="153"/>
      <c r="AY157" s="153"/>
      <c r="AZ157" s="153"/>
      <c r="BA157" s="153"/>
      <c r="BB157" s="153"/>
      <c r="BC157" s="153"/>
      <c r="BD157" s="153"/>
      <c r="BE157" s="153"/>
      <c r="BF157" s="153"/>
      <c r="BG157" s="153"/>
      <c r="BS157" s="13">
        <v>2</v>
      </c>
      <c r="BT157" s="123">
        <v>44491</v>
      </c>
      <c r="BU157" s="116" t="s">
        <v>8</v>
      </c>
      <c r="BV157" s="115" t="s">
        <v>482</v>
      </c>
      <c r="BW157" s="116" t="s">
        <v>502</v>
      </c>
      <c r="BX157" s="115">
        <v>18400</v>
      </c>
      <c r="BY157" s="115">
        <v>41.7</v>
      </c>
      <c r="BZ157" s="115">
        <v>47.945</v>
      </c>
      <c r="CA157" s="119">
        <v>-3216.6708800000001</v>
      </c>
      <c r="CB157" s="115">
        <v>1.1497601918465228</v>
      </c>
      <c r="CC157" s="115">
        <v>500</v>
      </c>
      <c r="CD157" s="115">
        <v>50</v>
      </c>
      <c r="CE157" s="119">
        <v>20850</v>
      </c>
    </row>
    <row r="158" spans="1:83" hidden="1">
      <c r="A158" s="13">
        <f t="shared" si="244"/>
        <v>151</v>
      </c>
      <c r="B158" s="123">
        <v>44657</v>
      </c>
      <c r="C158" s="116" t="s">
        <v>8</v>
      </c>
      <c r="D158" s="116">
        <v>1</v>
      </c>
      <c r="E158" s="115" t="s">
        <v>481</v>
      </c>
      <c r="F158" s="116" t="s">
        <v>130</v>
      </c>
      <c r="G158" s="115">
        <v>310</v>
      </c>
      <c r="H158" s="117">
        <v>44679</v>
      </c>
      <c r="I158" s="115">
        <v>6750</v>
      </c>
      <c r="J158" s="115">
        <v>6.3</v>
      </c>
      <c r="K158" s="115">
        <v>1.3</v>
      </c>
      <c r="L158" s="119">
        <f t="shared" ref="L158" ca="1" si="488">IF(AND(K158&lt;&gt;0,I158&lt;&gt;0),(IF(C158="B",1,-1))*(K158-J158)*I158-AK158*2,0)*$D158*IF(MONTH($B$2)=MONTH($H158),1,0)</f>
        <v>0</v>
      </c>
      <c r="M158" s="119">
        <f t="shared" ref="M158" si="489">IF(AND(K158&lt;&gt;0,I158&lt;&gt;0),(IF(C158="B",1,-1))*(K158-J158)*I158-AK158*2,0)*$D158</f>
        <v>33750</v>
      </c>
      <c r="N158" s="115">
        <f t="shared" ref="N158" si="490">K158/$J158</f>
        <v>0.20634920634920637</v>
      </c>
      <c r="O158" s="156">
        <f t="shared" ref="O158" si="491">J158*(1+$O$6*IF(C158="B",-1,1))</f>
        <v>7.875</v>
      </c>
      <c r="P158" s="160">
        <f t="shared" si="245"/>
        <v>42525</v>
      </c>
      <c r="Q158" s="160" t="e">
        <f t="shared" ref="Q158" si="492">(W158-J158)*I158*IF(C158="B",1,-1)*IF(K158=0,1,0)</f>
        <v>#N/A</v>
      </c>
      <c r="R158" s="153" t="e">
        <f t="shared" ca="1" si="403"/>
        <v>#VALUE!</v>
      </c>
      <c r="S158" s="119">
        <f t="shared" ref="S158" si="493">(1-$S$6)*J158</f>
        <v>0.62999999999999989</v>
      </c>
      <c r="T158" s="115" t="e">
        <f>VLOOKUP(TRIM($F158),Reference!B:C,2,0)</f>
        <v>#VALUE!</v>
      </c>
      <c r="U158" s="170">
        <f t="shared" ref="U158" ca="1" si="494">AC158</f>
        <v>0</v>
      </c>
      <c r="V158" s="120" t="str">
        <f t="shared" si="395"/>
        <v>TATAPOWER22APR310CE</v>
      </c>
      <c r="W158" s="158" t="e">
        <f>VLOOKUP($V158,Reference!BA:BD,4,0)</f>
        <v>#N/A</v>
      </c>
      <c r="X158" s="160">
        <f t="shared" ca="1" si="396"/>
        <v>0</v>
      </c>
      <c r="Y158" s="160">
        <f t="shared" ca="1" si="397"/>
        <v>0</v>
      </c>
      <c r="Z158" s="160">
        <f t="shared" ca="1" si="404"/>
        <v>0</v>
      </c>
      <c r="AA158" s="160">
        <f t="shared" ca="1" si="398"/>
        <v>0</v>
      </c>
      <c r="AB158" s="160">
        <f t="shared" ca="1" si="399"/>
        <v>0</v>
      </c>
      <c r="AC158" s="119">
        <f t="shared" ca="1" si="400"/>
        <v>0</v>
      </c>
      <c r="AD158" s="115">
        <f t="shared" ref="AD158" ca="1" si="495">(H158-TODAY())/365</f>
        <v>-1.3835616438356164</v>
      </c>
      <c r="AE158" s="115">
        <f t="shared" ref="AE158" si="496">IF(I158&lt;&gt;0,20,0)</f>
        <v>20</v>
      </c>
      <c r="AF158" s="115"/>
      <c r="AG158" s="115"/>
      <c r="AH158" s="115">
        <f t="shared" si="246"/>
        <v>21.262499999999999</v>
      </c>
      <c r="AI158" s="115"/>
      <c r="AJ158" s="115">
        <f t="shared" si="247"/>
        <v>0</v>
      </c>
      <c r="AK158" s="115"/>
      <c r="AL158" s="142"/>
      <c r="AM158" s="153"/>
      <c r="AN158" s="153"/>
      <c r="AO158" s="153"/>
      <c r="AP158" s="153"/>
      <c r="AQ158" s="153"/>
      <c r="AR158" s="153"/>
      <c r="AS158" s="153"/>
      <c r="AT158" s="153"/>
      <c r="AU158" s="153"/>
      <c r="AV158" s="153"/>
      <c r="AW158" s="153"/>
      <c r="AX158" s="153"/>
      <c r="AY158" s="153"/>
      <c r="AZ158" s="153"/>
      <c r="BA158" s="153"/>
      <c r="BB158" s="153"/>
      <c r="BC158" s="153"/>
      <c r="BD158" s="153"/>
      <c r="BE158" s="153"/>
      <c r="BF158" s="153"/>
      <c r="BG158" s="153"/>
      <c r="BS158" s="13">
        <v>2</v>
      </c>
      <c r="BT158" s="123">
        <v>44491</v>
      </c>
      <c r="BU158" s="116" t="s">
        <v>8</v>
      </c>
      <c r="BV158" s="115" t="s">
        <v>482</v>
      </c>
      <c r="BW158" s="116" t="s">
        <v>502</v>
      </c>
      <c r="BX158" s="115">
        <v>18400</v>
      </c>
      <c r="BY158" s="115">
        <v>41.7</v>
      </c>
      <c r="BZ158" s="115">
        <v>47.945</v>
      </c>
      <c r="CA158" s="119">
        <v>-3216.6708800000001</v>
      </c>
      <c r="CB158" s="115">
        <v>1.1497601918465228</v>
      </c>
      <c r="CC158" s="115">
        <v>500</v>
      </c>
      <c r="CD158" s="115">
        <v>50</v>
      </c>
      <c r="CE158" s="119">
        <v>20850</v>
      </c>
    </row>
    <row r="159" spans="1:83" hidden="1">
      <c r="A159" s="13">
        <f t="shared" si="244"/>
        <v>152</v>
      </c>
      <c r="B159" s="123">
        <v>44657</v>
      </c>
      <c r="C159" s="116" t="s">
        <v>8</v>
      </c>
      <c r="D159" s="116">
        <v>1</v>
      </c>
      <c r="E159" s="115" t="s">
        <v>481</v>
      </c>
      <c r="F159" s="116" t="s">
        <v>130</v>
      </c>
      <c r="G159" s="115">
        <v>295</v>
      </c>
      <c r="H159" s="117">
        <v>44679</v>
      </c>
      <c r="I159" s="115">
        <v>6750</v>
      </c>
      <c r="J159" s="115">
        <v>6.9</v>
      </c>
      <c r="K159" s="115">
        <v>1.65</v>
      </c>
      <c r="L159" s="119">
        <f t="shared" ref="L159:L160" ca="1" si="497">IF(AND(K159&lt;&gt;0,I159&lt;&gt;0),(IF(C159="B",1,-1))*(K159-J159)*I159-AK159*2,0)*$D159*IF(MONTH($B$2)=MONTH($H159),1,0)</f>
        <v>0</v>
      </c>
      <c r="M159" s="119">
        <f t="shared" ref="M159:M160" si="498">IF(AND(K159&lt;&gt;0,I159&lt;&gt;0),(IF(C159="B",1,-1))*(K159-J159)*I159-AK159*2,0)*$D159</f>
        <v>35437.5</v>
      </c>
      <c r="N159" s="115">
        <f t="shared" ref="N159:N160" si="499">K159/$J159</f>
        <v>0.23913043478260868</v>
      </c>
      <c r="O159" s="156">
        <f t="shared" ref="O159:O160" si="500">J159*(1+$O$6*IF(C159="B",-1,1))</f>
        <v>8.625</v>
      </c>
      <c r="P159" s="160">
        <f t="shared" si="245"/>
        <v>46575</v>
      </c>
      <c r="Q159" s="160" t="e">
        <f t="shared" ref="Q159:Q160" si="501">(W159-J159)*I159*IF(C159="B",1,-1)*IF(K159=0,1,0)</f>
        <v>#N/A</v>
      </c>
      <c r="R159" s="153" t="e">
        <f t="shared" ca="1" si="403"/>
        <v>#VALUE!</v>
      </c>
      <c r="S159" s="119">
        <f t="shared" ref="S159:S160" si="502">(1-$S$6)*J159</f>
        <v>0.68999999999999984</v>
      </c>
      <c r="T159" s="115" t="e">
        <f>VLOOKUP(TRIM($F159),Reference!B:C,2,0)</f>
        <v>#VALUE!</v>
      </c>
      <c r="U159" s="170">
        <f t="shared" ref="U159:U160" ca="1" si="503">AC159</f>
        <v>0</v>
      </c>
      <c r="V159" s="120" t="str">
        <f t="shared" si="395"/>
        <v>TATAPOWER22APR295CE</v>
      </c>
      <c r="W159" s="158" t="e">
        <f>VLOOKUP($V159,Reference!BA:BD,4,0)</f>
        <v>#N/A</v>
      </c>
      <c r="X159" s="160">
        <f t="shared" ca="1" si="396"/>
        <v>0</v>
      </c>
      <c r="Y159" s="160">
        <f t="shared" ca="1" si="397"/>
        <v>0</v>
      </c>
      <c r="Z159" s="160">
        <f t="shared" ca="1" si="404"/>
        <v>0</v>
      </c>
      <c r="AA159" s="160">
        <f t="shared" ca="1" si="398"/>
        <v>0</v>
      </c>
      <c r="AB159" s="160">
        <f t="shared" ca="1" si="399"/>
        <v>0</v>
      </c>
      <c r="AC159" s="119">
        <f t="shared" ca="1" si="400"/>
        <v>0</v>
      </c>
      <c r="AD159" s="115">
        <f t="shared" ref="AD159:AD160" ca="1" si="504">(H159-TODAY())/365</f>
        <v>-1.3835616438356164</v>
      </c>
      <c r="AE159" s="115">
        <f t="shared" ref="AE159:AE160" si="505">IF(I159&lt;&gt;0,20,0)</f>
        <v>20</v>
      </c>
      <c r="AF159" s="115"/>
      <c r="AG159" s="115"/>
      <c r="AH159" s="115">
        <f t="shared" si="246"/>
        <v>23.287500000000001</v>
      </c>
      <c r="AI159" s="115"/>
      <c r="AJ159" s="115">
        <f t="shared" si="247"/>
        <v>0</v>
      </c>
      <c r="AK159" s="115"/>
      <c r="AL159" s="142"/>
      <c r="AM159" s="153"/>
      <c r="AN159" s="153"/>
      <c r="AO159" s="153"/>
      <c r="AP159" s="153"/>
      <c r="AQ159" s="153"/>
      <c r="AR159" s="153"/>
      <c r="AS159" s="153"/>
      <c r="AT159" s="153"/>
      <c r="AU159" s="153"/>
      <c r="AV159" s="153"/>
      <c r="AW159" s="153"/>
      <c r="AX159" s="153"/>
      <c r="AY159" s="153"/>
      <c r="AZ159" s="153"/>
      <c r="BA159" s="153"/>
      <c r="BB159" s="153"/>
      <c r="BC159" s="153"/>
      <c r="BD159" s="153"/>
      <c r="BE159" s="153"/>
      <c r="BF159" s="153"/>
      <c r="BG159" s="153"/>
      <c r="BS159" s="13">
        <v>2</v>
      </c>
      <c r="BT159" s="123">
        <v>44491</v>
      </c>
      <c r="BU159" s="116" t="s">
        <v>8</v>
      </c>
      <c r="BV159" s="115" t="s">
        <v>482</v>
      </c>
      <c r="BW159" s="116" t="s">
        <v>502</v>
      </c>
      <c r="BX159" s="115">
        <v>18400</v>
      </c>
      <c r="BY159" s="115">
        <v>41.7</v>
      </c>
      <c r="BZ159" s="115">
        <v>47.945</v>
      </c>
      <c r="CA159" s="119">
        <v>-3216.6708800000001</v>
      </c>
      <c r="CB159" s="115">
        <v>1.1497601918465228</v>
      </c>
      <c r="CC159" s="115">
        <v>500</v>
      </c>
      <c r="CD159" s="115">
        <v>50</v>
      </c>
      <c r="CE159" s="119">
        <v>20850</v>
      </c>
    </row>
    <row r="160" spans="1:83" hidden="1">
      <c r="A160" s="13">
        <f t="shared" ref="A160:A227" si="506">A159+1</f>
        <v>153</v>
      </c>
      <c r="B160" s="123">
        <v>44657</v>
      </c>
      <c r="C160" s="116" t="s">
        <v>8</v>
      </c>
      <c r="D160" s="116">
        <v>1</v>
      </c>
      <c r="E160" s="115" t="s">
        <v>481</v>
      </c>
      <c r="F160" s="116" t="s">
        <v>130</v>
      </c>
      <c r="G160" s="115">
        <v>300</v>
      </c>
      <c r="H160" s="117">
        <v>44679</v>
      </c>
      <c r="I160" s="115">
        <v>6750</v>
      </c>
      <c r="J160" s="115">
        <v>5.7</v>
      </c>
      <c r="K160" s="115">
        <v>0.75</v>
      </c>
      <c r="L160" s="119">
        <f t="shared" ca="1" si="497"/>
        <v>0</v>
      </c>
      <c r="M160" s="119">
        <f t="shared" si="498"/>
        <v>33412.5</v>
      </c>
      <c r="N160" s="115">
        <f t="shared" si="499"/>
        <v>0.13157894736842105</v>
      </c>
      <c r="O160" s="156">
        <f t="shared" si="500"/>
        <v>7.125</v>
      </c>
      <c r="P160" s="160">
        <f t="shared" ref="P160:P227" si="507">$J160*$I160*$D160</f>
        <v>38475</v>
      </c>
      <c r="Q160" s="160" t="e">
        <f t="shared" si="501"/>
        <v>#N/A</v>
      </c>
      <c r="R160" s="153" t="e">
        <f t="shared" ca="1" si="403"/>
        <v>#VALUE!</v>
      </c>
      <c r="S160" s="119">
        <f t="shared" si="502"/>
        <v>0.56999999999999984</v>
      </c>
      <c r="T160" s="115" t="e">
        <f>VLOOKUP(TRIM($F160),Reference!B:C,2,0)</f>
        <v>#VALUE!</v>
      </c>
      <c r="U160" s="170">
        <f t="shared" ca="1" si="503"/>
        <v>0</v>
      </c>
      <c r="V160" s="120" t="str">
        <f t="shared" si="395"/>
        <v>TATAPOWER22APR300CE</v>
      </c>
      <c r="W160" s="158" t="e">
        <f>VLOOKUP($V160,Reference!BA:BD,4,0)</f>
        <v>#N/A</v>
      </c>
      <c r="X160" s="160">
        <f t="shared" ca="1" si="396"/>
        <v>0</v>
      </c>
      <c r="Y160" s="160">
        <f t="shared" ca="1" si="397"/>
        <v>0</v>
      </c>
      <c r="Z160" s="160">
        <f t="shared" ca="1" si="404"/>
        <v>0</v>
      </c>
      <c r="AA160" s="160">
        <f t="shared" ca="1" si="398"/>
        <v>0</v>
      </c>
      <c r="AB160" s="160">
        <f t="shared" ca="1" si="399"/>
        <v>0</v>
      </c>
      <c r="AC160" s="119">
        <f t="shared" ca="1" si="400"/>
        <v>0</v>
      </c>
      <c r="AD160" s="115">
        <f t="shared" ca="1" si="504"/>
        <v>-1.3835616438356164</v>
      </c>
      <c r="AE160" s="115">
        <f t="shared" si="505"/>
        <v>20</v>
      </c>
      <c r="AF160" s="115"/>
      <c r="AG160" s="115"/>
      <c r="AH160" s="115">
        <f t="shared" ref="AH160:AH227" si="508">0.05%*$P160*(IF($C160="B",0,1))</f>
        <v>19.237500000000001</v>
      </c>
      <c r="AI160" s="115"/>
      <c r="AJ160" s="115">
        <f t="shared" ref="AJ160:AJ227" si="509">300/10000000*$P160*(IF($C160="B",1,0))</f>
        <v>0</v>
      </c>
      <c r="AK160" s="115"/>
      <c r="AL160" s="142"/>
      <c r="AM160" s="153"/>
      <c r="AN160" s="153"/>
      <c r="AO160" s="153"/>
      <c r="AP160" s="153"/>
      <c r="AQ160" s="153"/>
      <c r="AR160" s="153"/>
      <c r="AS160" s="153"/>
      <c r="AT160" s="153"/>
      <c r="AU160" s="153"/>
      <c r="AV160" s="153"/>
      <c r="AW160" s="153"/>
      <c r="AX160" s="153"/>
      <c r="AY160" s="153"/>
      <c r="AZ160" s="153"/>
      <c r="BA160" s="153"/>
      <c r="BB160" s="153"/>
      <c r="BC160" s="153"/>
      <c r="BD160" s="153"/>
      <c r="BE160" s="153"/>
      <c r="BF160" s="153"/>
      <c r="BG160" s="153"/>
      <c r="BS160" s="13">
        <v>2</v>
      </c>
      <c r="BT160" s="123">
        <v>44491</v>
      </c>
      <c r="BU160" s="116" t="s">
        <v>8</v>
      </c>
      <c r="BV160" s="115" t="s">
        <v>482</v>
      </c>
      <c r="BW160" s="116" t="s">
        <v>502</v>
      </c>
      <c r="BX160" s="115">
        <v>18400</v>
      </c>
      <c r="BY160" s="115">
        <v>41.7</v>
      </c>
      <c r="BZ160" s="115">
        <v>47.945</v>
      </c>
      <c r="CA160" s="119">
        <v>-3216.6708800000001</v>
      </c>
      <c r="CB160" s="115">
        <v>1.1497601918465228</v>
      </c>
      <c r="CC160" s="115">
        <v>500</v>
      </c>
      <c r="CD160" s="115">
        <v>50</v>
      </c>
      <c r="CE160" s="119">
        <v>20850</v>
      </c>
    </row>
    <row r="161" spans="1:83" hidden="1">
      <c r="A161" s="13">
        <f t="shared" si="506"/>
        <v>154</v>
      </c>
      <c r="B161" s="123">
        <v>44657</v>
      </c>
      <c r="C161" s="116" t="s">
        <v>8</v>
      </c>
      <c r="D161" s="116">
        <v>1</v>
      </c>
      <c r="E161" s="115" t="s">
        <v>481</v>
      </c>
      <c r="F161" s="116" t="s">
        <v>130</v>
      </c>
      <c r="G161" s="115">
        <v>280</v>
      </c>
      <c r="H161" s="117">
        <v>44679</v>
      </c>
      <c r="I161" s="115">
        <v>6750</v>
      </c>
      <c r="J161" s="115">
        <v>12.45</v>
      </c>
      <c r="K161" s="115">
        <v>0.7</v>
      </c>
      <c r="L161" s="119">
        <f t="shared" ref="L161:L167" ca="1" si="510">IF(AND(K161&lt;&gt;0,I161&lt;&gt;0),(IF(C161="B",1,-1))*(K161-J161)*I161-AK161*2,0)*$D161*IF(MONTH($B$2)=MONTH($H161),1,0)</f>
        <v>0</v>
      </c>
      <c r="M161" s="119">
        <f t="shared" ref="M161:M167" si="511">IF(AND(K161&lt;&gt;0,I161&lt;&gt;0),(IF(C161="B",1,-1))*(K161-J161)*I161-AK161*2,0)*$D161</f>
        <v>79312.5</v>
      </c>
      <c r="N161" s="115">
        <f t="shared" ref="N161:N167" si="512">K161/$J161</f>
        <v>5.6224899598393573E-2</v>
      </c>
      <c r="O161" s="156">
        <f t="shared" ref="O161:O167" si="513">J161*(1+$O$6*IF(C161="B",-1,1))</f>
        <v>15.5625</v>
      </c>
      <c r="P161" s="160">
        <f t="shared" si="507"/>
        <v>84037.5</v>
      </c>
      <c r="Q161" s="160" t="e">
        <f t="shared" ref="Q161:Q167" si="514">(W161-J161)*I161*IF(C161="B",1,-1)*IF(K161=0,1,0)</f>
        <v>#N/A</v>
      </c>
      <c r="R161" s="153" t="e">
        <f t="shared" ca="1" si="403"/>
        <v>#VALUE!</v>
      </c>
      <c r="S161" s="119">
        <f t="shared" ref="S161:S167" si="515">(1-$S$6)*J161</f>
        <v>1.2449999999999997</v>
      </c>
      <c r="T161" s="115" t="e">
        <f>VLOOKUP(TRIM($F161),Reference!B:C,2,0)</f>
        <v>#VALUE!</v>
      </c>
      <c r="U161" s="170">
        <f t="shared" ref="U161:U167" ca="1" si="516">AC161</f>
        <v>0</v>
      </c>
      <c r="V161" s="120" t="str">
        <f t="shared" si="395"/>
        <v>TATAPOWER22APR280CE</v>
      </c>
      <c r="W161" s="158" t="e">
        <f>VLOOKUP($V161,Reference!BA:BD,4,0)</f>
        <v>#N/A</v>
      </c>
      <c r="X161" s="160">
        <f t="shared" ca="1" si="396"/>
        <v>0</v>
      </c>
      <c r="Y161" s="160">
        <f t="shared" ca="1" si="397"/>
        <v>0</v>
      </c>
      <c r="Z161" s="160">
        <f t="shared" ca="1" si="404"/>
        <v>0</v>
      </c>
      <c r="AA161" s="160">
        <f t="shared" ca="1" si="398"/>
        <v>0</v>
      </c>
      <c r="AB161" s="160">
        <f t="shared" ca="1" si="399"/>
        <v>0</v>
      </c>
      <c r="AC161" s="119">
        <f t="shared" ca="1" si="400"/>
        <v>0</v>
      </c>
      <c r="AD161" s="115">
        <f t="shared" ref="AD161:AD167" ca="1" si="517">(H161-TODAY())/365</f>
        <v>-1.3835616438356164</v>
      </c>
      <c r="AE161" s="115">
        <f t="shared" ref="AE161:AE167" si="518">IF(I161&lt;&gt;0,20,0)</f>
        <v>20</v>
      </c>
      <c r="AF161" s="115"/>
      <c r="AG161" s="115"/>
      <c r="AH161" s="115">
        <f t="shared" si="508"/>
        <v>42.018750000000004</v>
      </c>
      <c r="AI161" s="115"/>
      <c r="AJ161" s="115">
        <f t="shared" si="509"/>
        <v>0</v>
      </c>
      <c r="AK161" s="115"/>
      <c r="AL161" s="142"/>
      <c r="AM161" s="153"/>
      <c r="AN161" s="153"/>
      <c r="AO161" s="153"/>
      <c r="AP161" s="153"/>
      <c r="AQ161" s="153"/>
      <c r="AR161" s="153"/>
      <c r="AS161" s="153"/>
      <c r="AT161" s="153"/>
      <c r="AU161" s="153"/>
      <c r="AV161" s="153"/>
      <c r="AW161" s="153"/>
      <c r="AX161" s="153"/>
      <c r="AY161" s="153"/>
      <c r="AZ161" s="153"/>
      <c r="BA161" s="153"/>
      <c r="BB161" s="153"/>
      <c r="BC161" s="153"/>
      <c r="BD161" s="153"/>
      <c r="BE161" s="153"/>
      <c r="BF161" s="153"/>
      <c r="BG161" s="153"/>
      <c r="BS161" s="13">
        <v>2</v>
      </c>
      <c r="BT161" s="123">
        <v>44491</v>
      </c>
      <c r="BU161" s="116" t="s">
        <v>8</v>
      </c>
      <c r="BV161" s="115" t="s">
        <v>482</v>
      </c>
      <c r="BW161" s="116" t="s">
        <v>502</v>
      </c>
      <c r="BX161" s="115">
        <v>18400</v>
      </c>
      <c r="BY161" s="115">
        <v>41.7</v>
      </c>
      <c r="BZ161" s="115">
        <v>47.945</v>
      </c>
      <c r="CA161" s="119">
        <v>-3216.6708800000001</v>
      </c>
      <c r="CB161" s="115">
        <v>1.1497601918465228</v>
      </c>
      <c r="CC161" s="115">
        <v>500</v>
      </c>
      <c r="CD161" s="115">
        <v>50</v>
      </c>
      <c r="CE161" s="119">
        <v>20850</v>
      </c>
    </row>
    <row r="162" spans="1:83" hidden="1">
      <c r="A162" s="13">
        <f t="shared" si="506"/>
        <v>155</v>
      </c>
      <c r="B162" s="123">
        <v>44663</v>
      </c>
      <c r="C162" s="116" t="s">
        <v>6</v>
      </c>
      <c r="D162" s="116">
        <v>0</v>
      </c>
      <c r="E162" s="115" t="s">
        <v>632</v>
      </c>
      <c r="F162" s="116" t="s">
        <v>126</v>
      </c>
      <c r="G162" s="115"/>
      <c r="H162" s="117">
        <v>44679</v>
      </c>
      <c r="I162" s="115">
        <v>3750</v>
      </c>
      <c r="J162" s="115">
        <v>234.9</v>
      </c>
      <c r="K162" s="115">
        <v>219.05</v>
      </c>
      <c r="L162" s="119">
        <f t="shared" ca="1" si="510"/>
        <v>0</v>
      </c>
      <c r="M162" s="119">
        <f t="shared" si="511"/>
        <v>0</v>
      </c>
      <c r="N162" s="115">
        <f t="shared" si="512"/>
        <v>0.93252447850149001</v>
      </c>
      <c r="O162" s="156">
        <f t="shared" si="513"/>
        <v>176.17500000000001</v>
      </c>
      <c r="P162" s="160">
        <f t="shared" si="507"/>
        <v>0</v>
      </c>
      <c r="Q162" s="160" t="e">
        <f t="shared" si="514"/>
        <v>#N/A</v>
      </c>
      <c r="R162" s="153" t="e">
        <f t="shared" ca="1" si="403"/>
        <v>#VALUE!</v>
      </c>
      <c r="S162" s="119">
        <f t="shared" si="515"/>
        <v>23.489999999999995</v>
      </c>
      <c r="T162" s="115" t="e">
        <f>VLOOKUP(TRIM($F162),Reference!B:C,2,0)</f>
        <v>#VALUE!</v>
      </c>
      <c r="U162" s="170">
        <f t="shared" ca="1" si="516"/>
        <v>0</v>
      </c>
      <c r="V162" s="120" t="str">
        <f t="shared" si="395"/>
        <v>IEX22APRFUT</v>
      </c>
      <c r="W162" s="158" t="e">
        <f>VLOOKUP($V162,Reference!BA:BD,4,0)</f>
        <v>#N/A</v>
      </c>
      <c r="X162" s="160">
        <f t="shared" ca="1" si="396"/>
        <v>0</v>
      </c>
      <c r="Y162" s="160">
        <f t="shared" ca="1" si="397"/>
        <v>0</v>
      </c>
      <c r="Z162" s="160">
        <f t="shared" ca="1" si="404"/>
        <v>0</v>
      </c>
      <c r="AA162" s="160">
        <f t="shared" ca="1" si="398"/>
        <v>0</v>
      </c>
      <c r="AB162" s="160">
        <f t="shared" ca="1" si="399"/>
        <v>0</v>
      </c>
      <c r="AC162" s="119">
        <f t="shared" ca="1" si="400"/>
        <v>0</v>
      </c>
      <c r="AD162" s="115">
        <f t="shared" ca="1" si="517"/>
        <v>-1.3835616438356164</v>
      </c>
      <c r="AE162" s="115">
        <f t="shared" si="518"/>
        <v>20</v>
      </c>
      <c r="AF162" s="115"/>
      <c r="AG162" s="115"/>
      <c r="AH162" s="115">
        <f t="shared" si="508"/>
        <v>0</v>
      </c>
      <c r="AI162" s="115"/>
      <c r="AJ162" s="115">
        <f t="shared" si="509"/>
        <v>0</v>
      </c>
      <c r="AK162" s="115"/>
      <c r="AL162" s="142"/>
      <c r="AM162" s="153"/>
      <c r="AN162" s="153"/>
      <c r="AO162" s="153"/>
      <c r="AP162" s="153"/>
      <c r="AQ162" s="153"/>
      <c r="AR162" s="153"/>
      <c r="AS162" s="153"/>
      <c r="AT162" s="153"/>
      <c r="AU162" s="153"/>
      <c r="AV162" s="153"/>
      <c r="AW162" s="153"/>
      <c r="AX162" s="153"/>
      <c r="AY162" s="153"/>
      <c r="AZ162" s="153"/>
      <c r="BA162" s="153"/>
      <c r="BB162" s="153"/>
      <c r="BC162" s="153"/>
      <c r="BD162" s="153"/>
      <c r="BE162" s="153"/>
      <c r="BF162" s="153"/>
      <c r="BG162" s="153"/>
      <c r="BS162" s="13">
        <v>2</v>
      </c>
      <c r="BT162" s="123">
        <v>44491</v>
      </c>
      <c r="BU162" s="116" t="s">
        <v>8</v>
      </c>
      <c r="BV162" s="115" t="s">
        <v>482</v>
      </c>
      <c r="BW162" s="116" t="s">
        <v>502</v>
      </c>
      <c r="BX162" s="115">
        <v>18400</v>
      </c>
      <c r="BY162" s="115">
        <v>41.7</v>
      </c>
      <c r="BZ162" s="115">
        <v>47.945</v>
      </c>
      <c r="CA162" s="119">
        <v>-3216.6708800000001</v>
      </c>
      <c r="CB162" s="115">
        <v>1.1497601918465228</v>
      </c>
      <c r="CC162" s="115">
        <v>500</v>
      </c>
      <c r="CD162" s="115">
        <v>50</v>
      </c>
      <c r="CE162" s="119">
        <v>20850</v>
      </c>
    </row>
    <row r="163" spans="1:83" hidden="1">
      <c r="A163" s="13">
        <f t="shared" si="506"/>
        <v>156</v>
      </c>
      <c r="B163" s="123">
        <v>44663</v>
      </c>
      <c r="C163" s="116" t="s">
        <v>6</v>
      </c>
      <c r="D163" s="116">
        <v>1</v>
      </c>
      <c r="E163" s="115" t="s">
        <v>632</v>
      </c>
      <c r="F163" s="116" t="s">
        <v>502</v>
      </c>
      <c r="G163" s="115"/>
      <c r="H163" s="117">
        <v>44679</v>
      </c>
      <c r="I163" s="115">
        <v>50</v>
      </c>
      <c r="J163" s="115">
        <v>17549.150000000001</v>
      </c>
      <c r="K163" s="115">
        <v>17140</v>
      </c>
      <c r="L163" s="119">
        <f t="shared" ca="1" si="510"/>
        <v>0</v>
      </c>
      <c r="M163" s="119">
        <f t="shared" si="511"/>
        <v>-20457.500000000073</v>
      </c>
      <c r="N163" s="115">
        <f t="shared" si="512"/>
        <v>0.97668548049335713</v>
      </c>
      <c r="O163" s="156">
        <f t="shared" si="513"/>
        <v>13161.862500000001</v>
      </c>
      <c r="P163" s="160">
        <f t="shared" si="507"/>
        <v>877457.50000000012</v>
      </c>
      <c r="Q163" s="160" t="e">
        <f t="shared" si="514"/>
        <v>#N/A</v>
      </c>
      <c r="R163" s="153" t="e">
        <f t="shared" ca="1" si="403"/>
        <v>#VALUE!</v>
      </c>
      <c r="S163" s="119">
        <f t="shared" si="515"/>
        <v>1754.9149999999997</v>
      </c>
      <c r="T163" s="115" t="str">
        <f>VLOOKUP(TRIM($F163),Reference!B:C,2,0)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63" s="170">
        <f t="shared" ca="1" si="516"/>
        <v>0</v>
      </c>
      <c r="V163" s="120" t="str">
        <f t="shared" si="395"/>
        <v>NIFTY22APRFUT</v>
      </c>
      <c r="W163" s="158" t="e">
        <f>VLOOKUP($V163,Reference!BA:BD,4,0)</f>
        <v>#N/A</v>
      </c>
      <c r="X163" s="160">
        <f t="shared" ca="1" si="396"/>
        <v>0</v>
      </c>
      <c r="Y163" s="160">
        <f t="shared" ca="1" si="397"/>
        <v>0</v>
      </c>
      <c r="Z163" s="160">
        <f t="shared" ca="1" si="404"/>
        <v>0</v>
      </c>
      <c r="AA163" s="160">
        <f t="shared" ca="1" si="398"/>
        <v>0</v>
      </c>
      <c r="AB163" s="160">
        <f t="shared" ca="1" si="399"/>
        <v>0</v>
      </c>
      <c r="AC163" s="119">
        <f t="shared" ca="1" si="400"/>
        <v>0</v>
      </c>
      <c r="AD163" s="115">
        <f t="shared" ca="1" si="517"/>
        <v>-1.3835616438356164</v>
      </c>
      <c r="AE163" s="115">
        <f t="shared" si="518"/>
        <v>20</v>
      </c>
      <c r="AF163" s="115"/>
      <c r="AG163" s="115"/>
      <c r="AH163" s="115">
        <f t="shared" si="508"/>
        <v>0</v>
      </c>
      <c r="AI163" s="115"/>
      <c r="AJ163" s="115">
        <f t="shared" si="509"/>
        <v>26.323725000000003</v>
      </c>
      <c r="AK163" s="115"/>
      <c r="AL163" s="142"/>
      <c r="AM163" s="153"/>
      <c r="AN163" s="153"/>
      <c r="AO163" s="153"/>
      <c r="AP163" s="153"/>
      <c r="AQ163" s="153"/>
      <c r="AR163" s="153"/>
      <c r="AS163" s="153"/>
      <c r="AT163" s="153"/>
      <c r="AU163" s="153"/>
      <c r="AV163" s="153"/>
      <c r="AW163" s="153"/>
      <c r="AX163" s="153"/>
      <c r="AY163" s="153"/>
      <c r="AZ163" s="153"/>
      <c r="BA163" s="153"/>
      <c r="BB163" s="153"/>
      <c r="BC163" s="153"/>
      <c r="BD163" s="153"/>
      <c r="BE163" s="153"/>
      <c r="BF163" s="153"/>
      <c r="BG163" s="153"/>
      <c r="BS163" s="13">
        <v>2</v>
      </c>
      <c r="BT163" s="123">
        <v>44491</v>
      </c>
      <c r="BU163" s="116" t="s">
        <v>8</v>
      </c>
      <c r="BV163" s="115" t="s">
        <v>482</v>
      </c>
      <c r="BW163" s="116" t="s">
        <v>502</v>
      </c>
      <c r="BX163" s="115">
        <v>18400</v>
      </c>
      <c r="BY163" s="115">
        <v>41.7</v>
      </c>
      <c r="BZ163" s="115">
        <v>47.945</v>
      </c>
      <c r="CA163" s="119">
        <v>-3216.6708800000001</v>
      </c>
      <c r="CB163" s="115">
        <v>1.1497601918465228</v>
      </c>
      <c r="CC163" s="115">
        <v>500</v>
      </c>
      <c r="CD163" s="115">
        <v>50</v>
      </c>
      <c r="CE163" s="119">
        <v>20850</v>
      </c>
    </row>
    <row r="164" spans="1:83" hidden="1">
      <c r="A164" s="13">
        <f t="shared" si="506"/>
        <v>157</v>
      </c>
      <c r="B164" s="123">
        <v>44663</v>
      </c>
      <c r="C164" s="116" t="s">
        <v>8</v>
      </c>
      <c r="D164" s="116">
        <v>1</v>
      </c>
      <c r="E164" s="115" t="s">
        <v>481</v>
      </c>
      <c r="F164" s="116" t="s">
        <v>126</v>
      </c>
      <c r="G164" s="115">
        <v>250</v>
      </c>
      <c r="H164" s="117">
        <v>44679</v>
      </c>
      <c r="I164" s="115">
        <v>3750</v>
      </c>
      <c r="J164" s="115">
        <v>4</v>
      </c>
      <c r="K164" s="115">
        <v>0.05</v>
      </c>
      <c r="L164" s="119">
        <f t="shared" ca="1" si="510"/>
        <v>0</v>
      </c>
      <c r="M164" s="119">
        <f t="shared" si="511"/>
        <v>14812.5</v>
      </c>
      <c r="N164" s="115">
        <f t="shared" si="512"/>
        <v>1.2500000000000001E-2</v>
      </c>
      <c r="O164" s="156">
        <f t="shared" si="513"/>
        <v>5</v>
      </c>
      <c r="P164" s="160">
        <f t="shared" si="507"/>
        <v>15000</v>
      </c>
      <c r="Q164" s="160" t="e">
        <f t="shared" si="514"/>
        <v>#N/A</v>
      </c>
      <c r="R164" s="153" t="e">
        <f t="shared" ca="1" si="403"/>
        <v>#VALUE!</v>
      </c>
      <c r="S164" s="119">
        <f t="shared" si="515"/>
        <v>0.39999999999999991</v>
      </c>
      <c r="T164" s="115" t="e">
        <f>VLOOKUP(TRIM($F164),Reference!B:C,2,0)</f>
        <v>#VALUE!</v>
      </c>
      <c r="U164" s="170">
        <f t="shared" ca="1" si="516"/>
        <v>0</v>
      </c>
      <c r="V164" s="120" t="str">
        <f t="shared" si="395"/>
        <v>IEX22APR250CE</v>
      </c>
      <c r="W164" s="158" t="e">
        <f>VLOOKUP($V164,Reference!BA:BD,4,0)</f>
        <v>#N/A</v>
      </c>
      <c r="X164" s="160">
        <f t="shared" ca="1" si="396"/>
        <v>0</v>
      </c>
      <c r="Y164" s="160">
        <f t="shared" ca="1" si="397"/>
        <v>0</v>
      </c>
      <c r="Z164" s="160">
        <f t="shared" ca="1" si="404"/>
        <v>0</v>
      </c>
      <c r="AA164" s="160">
        <f t="shared" ca="1" si="398"/>
        <v>0</v>
      </c>
      <c r="AB164" s="160">
        <f t="shared" ca="1" si="399"/>
        <v>0</v>
      </c>
      <c r="AC164" s="119">
        <f t="shared" ca="1" si="400"/>
        <v>0</v>
      </c>
      <c r="AD164" s="115">
        <f t="shared" ca="1" si="517"/>
        <v>-1.3835616438356164</v>
      </c>
      <c r="AE164" s="115">
        <f t="shared" si="518"/>
        <v>20</v>
      </c>
      <c r="AF164" s="115"/>
      <c r="AG164" s="115"/>
      <c r="AH164" s="115">
        <f t="shared" si="508"/>
        <v>7.5</v>
      </c>
      <c r="AI164" s="115"/>
      <c r="AJ164" s="115">
        <f t="shared" si="509"/>
        <v>0</v>
      </c>
      <c r="AK164" s="115"/>
      <c r="AL164" s="142"/>
      <c r="AM164" s="153"/>
      <c r="AN164" s="153"/>
      <c r="AO164" s="153"/>
      <c r="AP164" s="153"/>
      <c r="AQ164" s="153"/>
      <c r="AR164" s="153"/>
      <c r="AS164" s="153"/>
      <c r="AT164" s="153"/>
      <c r="AU164" s="153"/>
      <c r="AV164" s="153"/>
      <c r="AW164" s="153"/>
      <c r="AX164" s="153"/>
      <c r="AY164" s="153"/>
      <c r="AZ164" s="153"/>
      <c r="BA164" s="153"/>
      <c r="BB164" s="153"/>
      <c r="BC164" s="153"/>
      <c r="BD164" s="153"/>
      <c r="BE164" s="153"/>
      <c r="BF164" s="153"/>
      <c r="BG164" s="153"/>
      <c r="BS164" s="13">
        <v>2</v>
      </c>
      <c r="BT164" s="123">
        <v>44491</v>
      </c>
      <c r="BU164" s="116" t="s">
        <v>8</v>
      </c>
      <c r="BV164" s="115" t="s">
        <v>482</v>
      </c>
      <c r="BW164" s="116" t="s">
        <v>502</v>
      </c>
      <c r="BX164" s="115">
        <v>18400</v>
      </c>
      <c r="BY164" s="115">
        <v>41.7</v>
      </c>
      <c r="BZ164" s="115">
        <v>47.945</v>
      </c>
      <c r="CA164" s="119">
        <v>-3216.6708800000001</v>
      </c>
      <c r="CB164" s="115">
        <v>1.1497601918465228</v>
      </c>
      <c r="CC164" s="115">
        <v>500</v>
      </c>
      <c r="CD164" s="115">
        <v>50</v>
      </c>
      <c r="CE164" s="119">
        <v>20850</v>
      </c>
    </row>
    <row r="165" spans="1:83" hidden="1">
      <c r="A165" s="13">
        <f t="shared" si="506"/>
        <v>158</v>
      </c>
      <c r="B165" s="123">
        <v>44664</v>
      </c>
      <c r="C165" s="116" t="s">
        <v>8</v>
      </c>
      <c r="D165" s="116">
        <v>1</v>
      </c>
      <c r="E165" s="115" t="s">
        <v>481</v>
      </c>
      <c r="F165" s="116" t="s">
        <v>130</v>
      </c>
      <c r="G165" s="115">
        <v>300</v>
      </c>
      <c r="H165" s="117">
        <v>44679</v>
      </c>
      <c r="I165" s="115">
        <v>6750</v>
      </c>
      <c r="J165" s="115">
        <v>2.85</v>
      </c>
      <c r="K165" s="115">
        <v>0.75</v>
      </c>
      <c r="L165" s="119">
        <f t="shared" ca="1" si="510"/>
        <v>0</v>
      </c>
      <c r="M165" s="119">
        <f t="shared" si="511"/>
        <v>14175</v>
      </c>
      <c r="N165" s="115">
        <f t="shared" si="512"/>
        <v>0.26315789473684209</v>
      </c>
      <c r="O165" s="156">
        <f t="shared" si="513"/>
        <v>3.5625</v>
      </c>
      <c r="P165" s="160">
        <f t="shared" si="507"/>
        <v>19237.5</v>
      </c>
      <c r="Q165" s="160" t="e">
        <f t="shared" si="514"/>
        <v>#N/A</v>
      </c>
      <c r="R165" s="153" t="e">
        <f t="shared" ca="1" si="403"/>
        <v>#VALUE!</v>
      </c>
      <c r="S165" s="119">
        <f t="shared" si="515"/>
        <v>0.28499999999999992</v>
      </c>
      <c r="T165" s="115" t="e">
        <f>VLOOKUP(TRIM($F165),Reference!B:C,2,0)</f>
        <v>#VALUE!</v>
      </c>
      <c r="U165" s="170">
        <f t="shared" ca="1" si="516"/>
        <v>0</v>
      </c>
      <c r="V165" s="120" t="str">
        <f t="shared" si="395"/>
        <v>TATAPOWER22APR300CE</v>
      </c>
      <c r="W165" s="158" t="e">
        <f>VLOOKUP($V165,Reference!BA:BD,4,0)</f>
        <v>#N/A</v>
      </c>
      <c r="X165" s="160">
        <f t="shared" ca="1" si="396"/>
        <v>0</v>
      </c>
      <c r="Y165" s="160">
        <f t="shared" ca="1" si="397"/>
        <v>0</v>
      </c>
      <c r="Z165" s="160">
        <f t="shared" ca="1" si="404"/>
        <v>0</v>
      </c>
      <c r="AA165" s="160">
        <f t="shared" ca="1" si="398"/>
        <v>0</v>
      </c>
      <c r="AB165" s="160">
        <f t="shared" ca="1" si="399"/>
        <v>0</v>
      </c>
      <c r="AC165" s="119">
        <f t="shared" ca="1" si="400"/>
        <v>0</v>
      </c>
      <c r="AD165" s="115">
        <f t="shared" ca="1" si="517"/>
        <v>-1.3835616438356164</v>
      </c>
      <c r="AE165" s="115">
        <f t="shared" si="518"/>
        <v>20</v>
      </c>
      <c r="AF165" s="115"/>
      <c r="AG165" s="115"/>
      <c r="AH165" s="115">
        <f t="shared" si="508"/>
        <v>9.6187500000000004</v>
      </c>
      <c r="AI165" s="115"/>
      <c r="AJ165" s="115">
        <f t="shared" si="509"/>
        <v>0</v>
      </c>
      <c r="AK165" s="115"/>
      <c r="AL165" s="142"/>
      <c r="AM165" s="153"/>
      <c r="AN165" s="153"/>
      <c r="AO165" s="153"/>
      <c r="AP165" s="153"/>
      <c r="AQ165" s="153"/>
      <c r="AR165" s="153"/>
      <c r="AS165" s="153"/>
      <c r="AT165" s="153"/>
      <c r="AU165" s="153"/>
      <c r="AV165" s="153"/>
      <c r="AW165" s="153"/>
      <c r="AX165" s="153"/>
      <c r="AY165" s="153"/>
      <c r="AZ165" s="153"/>
      <c r="BA165" s="153"/>
      <c r="BB165" s="153"/>
      <c r="BC165" s="153"/>
      <c r="BD165" s="153"/>
      <c r="BE165" s="153"/>
      <c r="BF165" s="153"/>
      <c r="BG165" s="153"/>
      <c r="BS165" s="13">
        <v>2</v>
      </c>
      <c r="BT165" s="123">
        <v>44491</v>
      </c>
      <c r="BU165" s="116" t="s">
        <v>8</v>
      </c>
      <c r="BV165" s="115" t="s">
        <v>482</v>
      </c>
      <c r="BW165" s="116" t="s">
        <v>502</v>
      </c>
      <c r="BX165" s="115">
        <v>18400</v>
      </c>
      <c r="BY165" s="115">
        <v>41.7</v>
      </c>
      <c r="BZ165" s="115">
        <v>47.945</v>
      </c>
      <c r="CA165" s="119">
        <v>-3216.6708800000001</v>
      </c>
      <c r="CB165" s="115">
        <v>1.1497601918465228</v>
      </c>
      <c r="CC165" s="115">
        <v>500</v>
      </c>
      <c r="CD165" s="115">
        <v>50</v>
      </c>
      <c r="CE165" s="119">
        <v>20850</v>
      </c>
    </row>
    <row r="166" spans="1:83" hidden="1">
      <c r="A166" s="13">
        <f t="shared" si="506"/>
        <v>159</v>
      </c>
      <c r="B166" s="123">
        <v>44670</v>
      </c>
      <c r="C166" s="116" t="s">
        <v>8</v>
      </c>
      <c r="D166" s="116">
        <v>1</v>
      </c>
      <c r="E166" s="115" t="s">
        <v>481</v>
      </c>
      <c r="F166" s="116" t="s">
        <v>284</v>
      </c>
      <c r="G166" s="115">
        <v>470</v>
      </c>
      <c r="H166" s="117">
        <v>44679</v>
      </c>
      <c r="I166" s="115">
        <v>2850</v>
      </c>
      <c r="J166" s="115">
        <v>2.4500000000000002</v>
      </c>
      <c r="K166" s="115">
        <v>1.75</v>
      </c>
      <c r="L166" s="119">
        <f t="shared" ca="1" si="510"/>
        <v>0</v>
      </c>
      <c r="M166" s="119">
        <f t="shared" si="511"/>
        <v>1995.0000000000005</v>
      </c>
      <c r="N166" s="115">
        <f t="shared" si="512"/>
        <v>0.71428571428571419</v>
      </c>
      <c r="O166" s="156">
        <f t="shared" si="513"/>
        <v>3.0625</v>
      </c>
      <c r="P166" s="160">
        <f t="shared" si="507"/>
        <v>6982.5000000000009</v>
      </c>
      <c r="Q166" s="160" t="e">
        <f t="shared" si="514"/>
        <v>#N/A</v>
      </c>
      <c r="R166" s="153" t="e">
        <f t="shared" ca="1" si="403"/>
        <v>#VALUE!</v>
      </c>
      <c r="S166" s="119">
        <f t="shared" si="515"/>
        <v>0.24499999999999997</v>
      </c>
      <c r="T166" s="115" t="e">
        <f>VLOOKUP(TRIM($F166),Reference!B:C,2,0)</f>
        <v>#VALUE!</v>
      </c>
      <c r="U166" s="170">
        <f t="shared" ca="1" si="516"/>
        <v>0</v>
      </c>
      <c r="V166" s="120" t="str">
        <f t="shared" si="395"/>
        <v>TATAMOTORS22APR470CE</v>
      </c>
      <c r="W166" s="158" t="e">
        <f>VLOOKUP($V166,Reference!BA:BD,4,0)</f>
        <v>#N/A</v>
      </c>
      <c r="X166" s="160">
        <f t="shared" ca="1" si="396"/>
        <v>0</v>
      </c>
      <c r="Y166" s="160">
        <f t="shared" ca="1" si="397"/>
        <v>0</v>
      </c>
      <c r="Z166" s="160">
        <f t="shared" ca="1" si="404"/>
        <v>0</v>
      </c>
      <c r="AA166" s="160">
        <f t="shared" ca="1" si="398"/>
        <v>0</v>
      </c>
      <c r="AB166" s="160">
        <f t="shared" ca="1" si="399"/>
        <v>0</v>
      </c>
      <c r="AC166" s="119">
        <f t="shared" ca="1" si="400"/>
        <v>0</v>
      </c>
      <c r="AD166" s="115">
        <f t="shared" ca="1" si="517"/>
        <v>-1.3835616438356164</v>
      </c>
      <c r="AE166" s="115">
        <f t="shared" si="518"/>
        <v>20</v>
      </c>
      <c r="AF166" s="115"/>
      <c r="AG166" s="115"/>
      <c r="AH166" s="115">
        <f t="shared" si="508"/>
        <v>3.4912500000000004</v>
      </c>
      <c r="AI166" s="115"/>
      <c r="AJ166" s="115">
        <f t="shared" si="509"/>
        <v>0</v>
      </c>
      <c r="AK166" s="115"/>
      <c r="AL166" s="142"/>
      <c r="AM166" s="153"/>
      <c r="AN166" s="153"/>
      <c r="AO166" s="153"/>
      <c r="AP166" s="153"/>
      <c r="AQ166" s="153"/>
      <c r="AR166" s="153"/>
      <c r="AS166" s="153"/>
      <c r="AT166" s="153"/>
      <c r="AU166" s="153"/>
      <c r="AV166" s="153"/>
      <c r="AW166" s="153"/>
      <c r="AX166" s="153"/>
      <c r="AY166" s="153"/>
      <c r="AZ166" s="153"/>
      <c r="BA166" s="153"/>
      <c r="BB166" s="153"/>
      <c r="BC166" s="153"/>
      <c r="BD166" s="153"/>
      <c r="BE166" s="153"/>
      <c r="BF166" s="153"/>
      <c r="BG166" s="153"/>
      <c r="BS166" s="13">
        <v>2</v>
      </c>
      <c r="BT166" s="123">
        <v>44491</v>
      </c>
      <c r="BU166" s="116" t="s">
        <v>8</v>
      </c>
      <c r="BV166" s="115" t="s">
        <v>482</v>
      </c>
      <c r="BW166" s="116" t="s">
        <v>502</v>
      </c>
      <c r="BX166" s="115">
        <v>18400</v>
      </c>
      <c r="BY166" s="115">
        <v>41.7</v>
      </c>
      <c r="BZ166" s="115">
        <v>47.945</v>
      </c>
      <c r="CA166" s="119">
        <v>-3216.6708800000001</v>
      </c>
      <c r="CB166" s="115">
        <v>1.1497601918465228</v>
      </c>
      <c r="CC166" s="115">
        <v>500</v>
      </c>
      <c r="CD166" s="115">
        <v>50</v>
      </c>
      <c r="CE166" s="119">
        <v>20850</v>
      </c>
    </row>
    <row r="167" spans="1:83" hidden="1">
      <c r="A167" s="13">
        <f t="shared" si="506"/>
        <v>160</v>
      </c>
      <c r="B167" s="123">
        <v>44652</v>
      </c>
      <c r="C167" s="116" t="s">
        <v>6</v>
      </c>
      <c r="D167" s="116">
        <v>1</v>
      </c>
      <c r="E167" s="115" t="s">
        <v>632</v>
      </c>
      <c r="F167" s="116" t="s">
        <v>506</v>
      </c>
      <c r="G167" s="115"/>
      <c r="H167" s="117">
        <v>44679</v>
      </c>
      <c r="I167" s="115">
        <v>25</v>
      </c>
      <c r="J167" s="115">
        <v>37157.65</v>
      </c>
      <c r="K167" s="115">
        <v>36064.75</v>
      </c>
      <c r="L167" s="119">
        <f t="shared" ca="1" si="510"/>
        <v>0</v>
      </c>
      <c r="M167" s="119">
        <f t="shared" si="511"/>
        <v>-27322.500000000036</v>
      </c>
      <c r="N167" s="115">
        <f t="shared" si="512"/>
        <v>0.97058748333115785</v>
      </c>
      <c r="O167" s="156">
        <f t="shared" si="513"/>
        <v>27868.237500000003</v>
      </c>
      <c r="P167" s="160">
        <f t="shared" si="507"/>
        <v>928941.25</v>
      </c>
      <c r="Q167" s="160" t="e">
        <f t="shared" si="514"/>
        <v>#N/A</v>
      </c>
      <c r="R167" s="153" t="e">
        <f t="shared" ca="1" si="403"/>
        <v>#VALUE!</v>
      </c>
      <c r="S167" s="119">
        <f t="shared" si="515"/>
        <v>3715.7649999999994</v>
      </c>
      <c r="T167" s="115" t="str">
        <f>VLOOKUP(TRIM($F167),Reference!B:C,2,0)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67" s="170">
        <f t="shared" ca="1" si="516"/>
        <v>0</v>
      </c>
      <c r="V167" s="120" t="str">
        <f t="shared" si="395"/>
        <v>BANKNIFTY22APRFUT</v>
      </c>
      <c r="W167" s="158" t="e">
        <f>VLOOKUP($V167,Reference!BA:BD,4,0)</f>
        <v>#N/A</v>
      </c>
      <c r="X167" s="160">
        <f t="shared" ca="1" si="396"/>
        <v>0</v>
      </c>
      <c r="Y167" s="160">
        <f t="shared" ca="1" si="397"/>
        <v>0</v>
      </c>
      <c r="Z167" s="160">
        <f t="shared" ca="1" si="404"/>
        <v>0</v>
      </c>
      <c r="AA167" s="160">
        <f t="shared" ca="1" si="398"/>
        <v>0</v>
      </c>
      <c r="AB167" s="160">
        <f t="shared" ca="1" si="399"/>
        <v>0</v>
      </c>
      <c r="AC167" s="119">
        <f t="shared" ca="1" si="400"/>
        <v>0</v>
      </c>
      <c r="AD167" s="115">
        <f t="shared" ca="1" si="517"/>
        <v>-1.3835616438356164</v>
      </c>
      <c r="AE167" s="115">
        <f t="shared" si="518"/>
        <v>20</v>
      </c>
      <c r="AF167" s="115"/>
      <c r="AG167" s="115"/>
      <c r="AH167" s="115">
        <f t="shared" si="508"/>
        <v>0</v>
      </c>
      <c r="AI167" s="115"/>
      <c r="AJ167" s="115">
        <f t="shared" si="509"/>
        <v>27.868237499999999</v>
      </c>
      <c r="AK167" s="115"/>
      <c r="AL167" s="142"/>
      <c r="AM167" s="153"/>
      <c r="AN167" s="153"/>
      <c r="AO167" s="153"/>
      <c r="AP167" s="153"/>
      <c r="AQ167" s="153"/>
      <c r="AR167" s="153"/>
      <c r="AS167" s="153"/>
      <c r="AT167" s="153"/>
      <c r="AU167" s="153"/>
      <c r="AV167" s="153"/>
      <c r="AW167" s="153"/>
      <c r="AX167" s="153"/>
      <c r="AY167" s="153"/>
      <c r="AZ167" s="153"/>
      <c r="BA167" s="153"/>
      <c r="BB167" s="153"/>
      <c r="BC167" s="153"/>
      <c r="BD167" s="153"/>
      <c r="BE167" s="153"/>
      <c r="BF167" s="153"/>
      <c r="BG167" s="153"/>
      <c r="BS167" s="13">
        <v>2</v>
      </c>
      <c r="BT167" s="123">
        <v>44491</v>
      </c>
      <c r="BU167" s="116" t="s">
        <v>8</v>
      </c>
      <c r="BV167" s="115" t="s">
        <v>482</v>
      </c>
      <c r="BW167" s="116" t="s">
        <v>502</v>
      </c>
      <c r="BX167" s="115">
        <v>18400</v>
      </c>
      <c r="BY167" s="115">
        <v>41.7</v>
      </c>
      <c r="BZ167" s="115">
        <v>47.945</v>
      </c>
      <c r="CA167" s="119">
        <v>-3216.6708800000001</v>
      </c>
      <c r="CB167" s="115">
        <v>1.1497601918465228</v>
      </c>
      <c r="CC167" s="115">
        <v>500</v>
      </c>
      <c r="CD167" s="115">
        <v>50</v>
      </c>
      <c r="CE167" s="119">
        <v>20850</v>
      </c>
    </row>
    <row r="168" spans="1:83" hidden="1">
      <c r="A168" s="13">
        <f t="shared" si="506"/>
        <v>161</v>
      </c>
      <c r="B168" s="123">
        <v>44671</v>
      </c>
      <c r="C168" s="116" t="s">
        <v>8</v>
      </c>
      <c r="D168" s="116">
        <v>1</v>
      </c>
      <c r="E168" s="115" t="s">
        <v>481</v>
      </c>
      <c r="F168" s="116" t="s">
        <v>284</v>
      </c>
      <c r="G168" s="115">
        <v>500</v>
      </c>
      <c r="H168" s="117">
        <v>44707</v>
      </c>
      <c r="I168" s="115">
        <v>2850</v>
      </c>
      <c r="J168" s="115">
        <v>5.6</v>
      </c>
      <c r="K168" s="115">
        <v>1.05</v>
      </c>
      <c r="L168" s="119">
        <f t="shared" ref="L168" ca="1" si="519">IF(AND(K168&lt;&gt;0,I168&lt;&gt;0),(IF(C168="B",1,-1))*(K168-J168)*I168-AK168*2,0)*$D168*IF(MONTH($B$2)=MONTH($H168),1,0)</f>
        <v>0</v>
      </c>
      <c r="M168" s="119">
        <f t="shared" ref="M168" si="520">IF(AND(K168&lt;&gt;0,I168&lt;&gt;0),(IF(C168="B",1,-1))*(K168-J168)*I168-AK168*2,0)*$D168</f>
        <v>12967.5</v>
      </c>
      <c r="N168" s="115">
        <f t="shared" ref="N168" si="521">K168/$J168</f>
        <v>0.18750000000000003</v>
      </c>
      <c r="O168" s="156">
        <f t="shared" ref="O168" si="522">J168*(1+$O$6*IF(C168="B",-1,1))</f>
        <v>7</v>
      </c>
      <c r="P168" s="160">
        <f t="shared" si="507"/>
        <v>15959.999999999998</v>
      </c>
      <c r="Q168" s="160" t="e">
        <f t="shared" ref="Q168" si="523">(W168-J168)*I168*IF(C168="B",1,-1)*IF(K168=0,1,0)</f>
        <v>#N/A</v>
      </c>
      <c r="R168" s="153" t="e">
        <f t="shared" ca="1" si="403"/>
        <v>#VALUE!</v>
      </c>
      <c r="S168" s="119">
        <f t="shared" ref="S168" si="524">(1-$S$6)*J168</f>
        <v>0.55999999999999983</v>
      </c>
      <c r="T168" s="115" t="e">
        <f>VLOOKUP(TRIM($F168),Reference!B:C,2,0)</f>
        <v>#VALUE!</v>
      </c>
      <c r="U168" s="170">
        <f t="shared" ref="U168" ca="1" si="525">AC168</f>
        <v>0</v>
      </c>
      <c r="V168" s="120" t="str">
        <f t="shared" si="395"/>
        <v>TATAMOTORS22MAY500CE</v>
      </c>
      <c r="W168" s="158" t="e">
        <f>VLOOKUP($V168,Reference!BA:BD,4,0)</f>
        <v>#N/A</v>
      </c>
      <c r="X168" s="160">
        <f t="shared" ca="1" si="396"/>
        <v>0</v>
      </c>
      <c r="Y168" s="160">
        <f t="shared" ca="1" si="397"/>
        <v>0</v>
      </c>
      <c r="Z168" s="160">
        <f t="shared" ca="1" si="404"/>
        <v>0</v>
      </c>
      <c r="AA168" s="160">
        <f t="shared" ca="1" si="398"/>
        <v>0</v>
      </c>
      <c r="AB168" s="160">
        <f t="shared" ca="1" si="399"/>
        <v>0</v>
      </c>
      <c r="AC168" s="119">
        <f t="shared" ca="1" si="400"/>
        <v>0</v>
      </c>
      <c r="AD168" s="115">
        <f t="shared" ref="AD168" ca="1" si="526">(H168-TODAY())/365</f>
        <v>-1.3068493150684932</v>
      </c>
      <c r="AE168" s="115">
        <f t="shared" ref="AE168" si="527">IF(I168&lt;&gt;0,20,0)</f>
        <v>20</v>
      </c>
      <c r="AF168" s="115"/>
      <c r="AG168" s="115"/>
      <c r="AH168" s="115">
        <f t="shared" si="508"/>
        <v>7.9799999999999995</v>
      </c>
      <c r="AI168" s="115"/>
      <c r="AJ168" s="115">
        <f t="shared" si="509"/>
        <v>0</v>
      </c>
      <c r="AK168" s="115"/>
      <c r="AL168" s="142"/>
      <c r="AM168" s="153"/>
      <c r="AN168" s="153"/>
      <c r="AO168" s="153"/>
      <c r="AP168" s="153"/>
      <c r="AQ168" s="153"/>
      <c r="AR168" s="153"/>
      <c r="AS168" s="153"/>
      <c r="AT168" s="153"/>
      <c r="AU168" s="153"/>
      <c r="AV168" s="153"/>
      <c r="AW168" s="153"/>
      <c r="AX168" s="153"/>
      <c r="AY168" s="153"/>
      <c r="AZ168" s="153"/>
      <c r="BA168" s="153"/>
      <c r="BB168" s="153"/>
      <c r="BC168" s="153"/>
      <c r="BD168" s="153"/>
      <c r="BE168" s="153"/>
      <c r="BF168" s="153"/>
      <c r="BG168" s="153"/>
      <c r="BS168" s="13">
        <v>2</v>
      </c>
      <c r="BT168" s="123">
        <v>44491</v>
      </c>
      <c r="BU168" s="116" t="s">
        <v>8</v>
      </c>
      <c r="BV168" s="115" t="s">
        <v>482</v>
      </c>
      <c r="BW168" s="116" t="s">
        <v>502</v>
      </c>
      <c r="BX168" s="115">
        <v>18400</v>
      </c>
      <c r="BY168" s="115">
        <v>41.7</v>
      </c>
      <c r="BZ168" s="115">
        <v>47.945</v>
      </c>
      <c r="CA168" s="119">
        <v>-3216.6708800000001</v>
      </c>
      <c r="CB168" s="115">
        <v>1.1497601918465228</v>
      </c>
      <c r="CC168" s="115">
        <v>500</v>
      </c>
      <c r="CD168" s="115">
        <v>50</v>
      </c>
      <c r="CE168" s="119">
        <v>20850</v>
      </c>
    </row>
    <row r="169" spans="1:83" hidden="1">
      <c r="A169" s="13">
        <f t="shared" si="506"/>
        <v>162</v>
      </c>
      <c r="B169" s="123">
        <v>44671</v>
      </c>
      <c r="C169" s="116" t="s">
        <v>6</v>
      </c>
      <c r="D169" s="116">
        <v>1</v>
      </c>
      <c r="E169" s="115" t="s">
        <v>482</v>
      </c>
      <c r="F169" s="116" t="s">
        <v>284</v>
      </c>
      <c r="G169" s="115">
        <v>410</v>
      </c>
      <c r="H169" s="117">
        <v>44679</v>
      </c>
      <c r="I169" s="115">
        <v>2850</v>
      </c>
      <c r="J169" s="115">
        <v>2.35</v>
      </c>
      <c r="K169" s="115">
        <v>0.05</v>
      </c>
      <c r="L169" s="119">
        <f t="shared" ref="L169:L172" ca="1" si="528">IF(AND(K169&lt;&gt;0,I169&lt;&gt;0),(IF(C169="B",1,-1))*(K169-J169)*I169-AK169*2,0)*$D169*IF(MONTH($B$2)=MONTH($H169),1,0)</f>
        <v>0</v>
      </c>
      <c r="M169" s="119">
        <f t="shared" ref="M169:M172" si="529">IF(AND(K169&lt;&gt;0,I169&lt;&gt;0),(IF(C169="B",1,-1))*(K169-J169)*I169-AK169*2,0)*$D169</f>
        <v>-6555.0000000000009</v>
      </c>
      <c r="N169" s="115">
        <f t="shared" ref="N169:N172" si="530">K169/$J169</f>
        <v>2.1276595744680851E-2</v>
      </c>
      <c r="O169" s="156">
        <f t="shared" ref="O169:O172" si="531">J169*(1+$O$6*IF(C169="B",-1,1))</f>
        <v>1.7625000000000002</v>
      </c>
      <c r="P169" s="160">
        <f>$J169*$I169*$D169</f>
        <v>6697.5</v>
      </c>
      <c r="Q169" s="160" t="e">
        <f t="shared" ref="Q169:Q172" si="532">(W169-J169)*I169*IF(C169="B",1,-1)*IF(K169=0,1,0)</f>
        <v>#N/A</v>
      </c>
      <c r="R169" s="153" t="e">
        <f t="shared" ca="1" si="403"/>
        <v>#VALUE!</v>
      </c>
      <c r="S169" s="119">
        <f t="shared" ref="S169:S172" si="533">(1-$S$6)*J169</f>
        <v>0.23499999999999996</v>
      </c>
      <c r="T169" s="115" t="e">
        <f>VLOOKUP(TRIM($F169),Reference!B:C,2,0)</f>
        <v>#VALUE!</v>
      </c>
      <c r="U169" s="170">
        <f t="shared" ref="U169:U172" ca="1" si="534">AC169</f>
        <v>0</v>
      </c>
      <c r="V169" s="120" t="str">
        <f t="shared" si="395"/>
        <v>TATAMOTORS22APR410PE</v>
      </c>
      <c r="W169" s="158" t="e">
        <f>VLOOKUP($V169,Reference!BA:BD,4,0)</f>
        <v>#N/A</v>
      </c>
      <c r="X169" s="160">
        <f t="shared" ca="1" si="396"/>
        <v>0</v>
      </c>
      <c r="Y169" s="160">
        <f t="shared" ca="1" si="397"/>
        <v>0</v>
      </c>
      <c r="Z169" s="160">
        <f t="shared" ca="1" si="404"/>
        <v>0</v>
      </c>
      <c r="AA169" s="160">
        <f t="shared" ca="1" si="398"/>
        <v>0</v>
      </c>
      <c r="AB169" s="160">
        <f t="shared" ca="1" si="399"/>
        <v>0</v>
      </c>
      <c r="AC169" s="119">
        <f t="shared" ca="1" si="400"/>
        <v>0</v>
      </c>
      <c r="AD169" s="115">
        <f t="shared" ref="AD169:AD172" ca="1" si="535">(H169-TODAY())/365</f>
        <v>-1.3835616438356164</v>
      </c>
      <c r="AE169" s="115">
        <f t="shared" ref="AE169:AE172" si="536">IF(I169&lt;&gt;0,20,0)</f>
        <v>20</v>
      </c>
      <c r="AF169" s="115"/>
      <c r="AG169" s="115"/>
      <c r="AH169" s="115">
        <f t="shared" si="508"/>
        <v>0</v>
      </c>
      <c r="AI169" s="115"/>
      <c r="AJ169" s="115">
        <f t="shared" si="509"/>
        <v>0.20092499999999999</v>
      </c>
      <c r="AK169" s="115"/>
      <c r="AL169" s="142"/>
      <c r="AM169" s="153"/>
      <c r="AN169" s="153"/>
      <c r="AO169" s="153"/>
      <c r="AP169" s="153"/>
      <c r="AQ169" s="153"/>
      <c r="AR169" s="153"/>
      <c r="AS169" s="153"/>
      <c r="AT169" s="153"/>
      <c r="AU169" s="153"/>
      <c r="AV169" s="153"/>
      <c r="AW169" s="153"/>
      <c r="AX169" s="153"/>
      <c r="AY169" s="153"/>
      <c r="AZ169" s="153"/>
      <c r="BA169" s="153"/>
      <c r="BB169" s="153"/>
      <c r="BC169" s="153"/>
      <c r="BD169" s="153"/>
      <c r="BE169" s="153"/>
      <c r="BF169" s="153"/>
      <c r="BG169" s="153"/>
      <c r="BS169" s="13">
        <v>2</v>
      </c>
      <c r="BT169" s="123">
        <v>44491</v>
      </c>
      <c r="BU169" s="116" t="s">
        <v>8</v>
      </c>
      <c r="BV169" s="115" t="s">
        <v>482</v>
      </c>
      <c r="BW169" s="116" t="s">
        <v>502</v>
      </c>
      <c r="BX169" s="115">
        <v>18400</v>
      </c>
      <c r="BY169" s="115">
        <v>41.7</v>
      </c>
      <c r="BZ169" s="115">
        <v>47.945</v>
      </c>
      <c r="CA169" s="119">
        <v>-3216.6708800000001</v>
      </c>
      <c r="CB169" s="115">
        <v>1.1497601918465228</v>
      </c>
      <c r="CC169" s="115">
        <v>500</v>
      </c>
      <c r="CD169" s="115">
        <v>50</v>
      </c>
      <c r="CE169" s="119">
        <v>20850</v>
      </c>
    </row>
    <row r="170" spans="1:83" hidden="1">
      <c r="A170" s="13">
        <f t="shared" si="506"/>
        <v>163</v>
      </c>
      <c r="B170" s="123">
        <v>44671</v>
      </c>
      <c r="C170" s="116" t="s">
        <v>6</v>
      </c>
      <c r="D170" s="116">
        <v>1</v>
      </c>
      <c r="E170" s="115" t="s">
        <v>632</v>
      </c>
      <c r="F170" s="116" t="s">
        <v>90</v>
      </c>
      <c r="G170" s="115"/>
      <c r="H170" s="117">
        <v>44679</v>
      </c>
      <c r="I170" s="115">
        <v>150</v>
      </c>
      <c r="J170" s="115">
        <v>3549.35</v>
      </c>
      <c r="K170" s="115">
        <v>3557.45</v>
      </c>
      <c r="L170" s="119">
        <f t="shared" ca="1" si="528"/>
        <v>0</v>
      </c>
      <c r="M170" s="119">
        <f t="shared" si="529"/>
        <v>1214.9999999999864</v>
      </c>
      <c r="N170" s="115">
        <f t="shared" si="530"/>
        <v>1.002282107991604</v>
      </c>
      <c r="O170" s="156">
        <f t="shared" si="531"/>
        <v>2662.0124999999998</v>
      </c>
      <c r="P170" s="160">
        <f t="shared" si="507"/>
        <v>532402.5</v>
      </c>
      <c r="Q170" s="160" t="e">
        <f t="shared" si="532"/>
        <v>#N/A</v>
      </c>
      <c r="R170" s="153" t="e">
        <f t="shared" ca="1" si="403"/>
        <v>#VALUE!</v>
      </c>
      <c r="S170" s="119">
        <f t="shared" si="533"/>
        <v>354.93499999999989</v>
      </c>
      <c r="T170" s="115" t="e">
        <f>VLOOKUP(TRIM($F170),Reference!B:C,2,0)</f>
        <v>#VALUE!</v>
      </c>
      <c r="U170" s="170">
        <f t="shared" ca="1" si="534"/>
        <v>0</v>
      </c>
      <c r="V170" s="120" t="str">
        <f t="shared" si="395"/>
        <v>TCS22APRFUT</v>
      </c>
      <c r="W170" s="158" t="e">
        <f>VLOOKUP($V170,Reference!BA:BD,4,0)</f>
        <v>#N/A</v>
      </c>
      <c r="X170" s="160">
        <f t="shared" ca="1" si="396"/>
        <v>0</v>
      </c>
      <c r="Y170" s="160">
        <f t="shared" ca="1" si="397"/>
        <v>0</v>
      </c>
      <c r="Z170" s="160">
        <f t="shared" ca="1" si="404"/>
        <v>0</v>
      </c>
      <c r="AA170" s="160">
        <f t="shared" ca="1" si="398"/>
        <v>0</v>
      </c>
      <c r="AB170" s="160">
        <f t="shared" ca="1" si="399"/>
        <v>0</v>
      </c>
      <c r="AC170" s="119">
        <f t="shared" ca="1" si="400"/>
        <v>0</v>
      </c>
      <c r="AD170" s="115">
        <f t="shared" ca="1" si="535"/>
        <v>-1.3835616438356164</v>
      </c>
      <c r="AE170" s="115">
        <f t="shared" si="536"/>
        <v>20</v>
      </c>
      <c r="AF170" s="115"/>
      <c r="AG170" s="115"/>
      <c r="AH170" s="115">
        <f t="shared" si="508"/>
        <v>0</v>
      </c>
      <c r="AI170" s="115"/>
      <c r="AJ170" s="115">
        <f t="shared" si="509"/>
        <v>15.972075</v>
      </c>
      <c r="AK170" s="115"/>
      <c r="AL170" s="142"/>
      <c r="AM170" s="153"/>
      <c r="AN170" s="153"/>
      <c r="AO170" s="153"/>
      <c r="AP170" s="153"/>
      <c r="AQ170" s="153"/>
      <c r="AR170" s="153"/>
      <c r="AS170" s="153"/>
      <c r="AT170" s="153"/>
      <c r="AU170" s="153"/>
      <c r="AV170" s="153"/>
      <c r="AW170" s="153"/>
      <c r="AX170" s="153"/>
      <c r="AY170" s="153"/>
      <c r="AZ170" s="153"/>
      <c r="BA170" s="153"/>
      <c r="BB170" s="153"/>
      <c r="BC170" s="153"/>
      <c r="BD170" s="153"/>
      <c r="BE170" s="153"/>
      <c r="BF170" s="153"/>
      <c r="BG170" s="153"/>
      <c r="BS170" s="13">
        <v>2</v>
      </c>
      <c r="BT170" s="123">
        <v>44491</v>
      </c>
      <c r="BU170" s="116" t="s">
        <v>8</v>
      </c>
      <c r="BV170" s="115" t="s">
        <v>482</v>
      </c>
      <c r="BW170" s="116" t="s">
        <v>502</v>
      </c>
      <c r="BX170" s="115">
        <v>18400</v>
      </c>
      <c r="BY170" s="115">
        <v>41.7</v>
      </c>
      <c r="BZ170" s="115">
        <v>47.945</v>
      </c>
      <c r="CA170" s="119">
        <v>-3216.6708800000001</v>
      </c>
      <c r="CB170" s="115">
        <v>1.1497601918465228</v>
      </c>
      <c r="CC170" s="115">
        <v>500</v>
      </c>
      <c r="CD170" s="115">
        <v>50</v>
      </c>
      <c r="CE170" s="119">
        <v>20850</v>
      </c>
    </row>
    <row r="171" spans="1:83" hidden="1">
      <c r="A171" s="13">
        <f t="shared" si="506"/>
        <v>164</v>
      </c>
      <c r="B171" s="123">
        <v>44671</v>
      </c>
      <c r="C171" s="116" t="s">
        <v>6</v>
      </c>
      <c r="D171" s="116">
        <v>1</v>
      </c>
      <c r="E171" s="115" t="s">
        <v>482</v>
      </c>
      <c r="F171" s="116" t="s">
        <v>126</v>
      </c>
      <c r="G171" s="115">
        <v>220</v>
      </c>
      <c r="H171" s="117">
        <v>44679</v>
      </c>
      <c r="I171" s="115">
        <v>3750</v>
      </c>
      <c r="J171" s="115">
        <v>2.6</v>
      </c>
      <c r="K171" s="115">
        <v>7.55</v>
      </c>
      <c r="L171" s="119">
        <f t="shared" ca="1" si="528"/>
        <v>0</v>
      </c>
      <c r="M171" s="119">
        <f t="shared" si="529"/>
        <v>18562.499999999996</v>
      </c>
      <c r="N171" s="115">
        <f t="shared" si="530"/>
        <v>2.9038461538461537</v>
      </c>
      <c r="O171" s="156">
        <f t="shared" si="531"/>
        <v>1.9500000000000002</v>
      </c>
      <c r="P171" s="160">
        <f t="shared" si="507"/>
        <v>9750</v>
      </c>
      <c r="Q171" s="160" t="e">
        <f t="shared" si="532"/>
        <v>#N/A</v>
      </c>
      <c r="R171" s="153" t="e">
        <f t="shared" ca="1" si="403"/>
        <v>#VALUE!</v>
      </c>
      <c r="S171" s="119">
        <f t="shared" si="533"/>
        <v>0.25999999999999995</v>
      </c>
      <c r="T171" s="115" t="e">
        <f>VLOOKUP(TRIM($F171),Reference!B:C,2,0)</f>
        <v>#VALUE!</v>
      </c>
      <c r="U171" s="170">
        <f t="shared" ca="1" si="534"/>
        <v>0</v>
      </c>
      <c r="V171" s="120" t="str">
        <f t="shared" si="395"/>
        <v>IEX22APR220PE</v>
      </c>
      <c r="W171" s="158" t="e">
        <f>VLOOKUP($V171,Reference!BA:BD,4,0)</f>
        <v>#N/A</v>
      </c>
      <c r="X171" s="160">
        <f t="shared" ca="1" si="396"/>
        <v>0</v>
      </c>
      <c r="Y171" s="160">
        <f t="shared" ca="1" si="397"/>
        <v>0</v>
      </c>
      <c r="Z171" s="160">
        <f t="shared" ca="1" si="404"/>
        <v>0</v>
      </c>
      <c r="AA171" s="160">
        <f t="shared" ca="1" si="398"/>
        <v>0</v>
      </c>
      <c r="AB171" s="160">
        <f t="shared" ca="1" si="399"/>
        <v>0</v>
      </c>
      <c r="AC171" s="119">
        <f t="shared" ca="1" si="400"/>
        <v>0</v>
      </c>
      <c r="AD171" s="115">
        <f t="shared" ca="1" si="535"/>
        <v>-1.3835616438356164</v>
      </c>
      <c r="AE171" s="115">
        <f t="shared" si="536"/>
        <v>20</v>
      </c>
      <c r="AF171" s="115"/>
      <c r="AG171" s="115"/>
      <c r="AH171" s="115">
        <f t="shared" si="508"/>
        <v>0</v>
      </c>
      <c r="AI171" s="115"/>
      <c r="AJ171" s="115">
        <f t="shared" si="509"/>
        <v>0.29249999999999998</v>
      </c>
      <c r="AK171" s="115"/>
      <c r="AL171" s="142"/>
      <c r="AM171" s="153"/>
      <c r="AN171" s="153"/>
      <c r="AO171" s="153"/>
      <c r="AP171" s="153"/>
      <c r="AQ171" s="153"/>
      <c r="AR171" s="153"/>
      <c r="AS171" s="153"/>
      <c r="AT171" s="153"/>
      <c r="AU171" s="153"/>
      <c r="AV171" s="153"/>
      <c r="AW171" s="153"/>
      <c r="AX171" s="153"/>
      <c r="AY171" s="153"/>
      <c r="AZ171" s="153"/>
      <c r="BA171" s="153"/>
      <c r="BB171" s="153"/>
      <c r="BC171" s="153"/>
      <c r="BD171" s="153"/>
      <c r="BE171" s="153"/>
      <c r="BF171" s="153"/>
      <c r="BG171" s="153"/>
      <c r="BS171" s="13">
        <v>2</v>
      </c>
      <c r="BT171" s="123">
        <v>44491</v>
      </c>
      <c r="BU171" s="116" t="s">
        <v>8</v>
      </c>
      <c r="BV171" s="115" t="s">
        <v>482</v>
      </c>
      <c r="BW171" s="116" t="s">
        <v>502</v>
      </c>
      <c r="BX171" s="115">
        <v>18400</v>
      </c>
      <c r="BY171" s="115">
        <v>41.7</v>
      </c>
      <c r="BZ171" s="115">
        <v>47.945</v>
      </c>
      <c r="CA171" s="119">
        <v>-3216.6708800000001</v>
      </c>
      <c r="CB171" s="115">
        <v>1.1497601918465228</v>
      </c>
      <c r="CC171" s="115">
        <v>500</v>
      </c>
      <c r="CD171" s="115">
        <v>50</v>
      </c>
      <c r="CE171" s="119">
        <v>20850</v>
      </c>
    </row>
    <row r="172" spans="1:83" hidden="1">
      <c r="A172" s="13">
        <f t="shared" si="506"/>
        <v>165</v>
      </c>
      <c r="B172" s="123">
        <v>44671</v>
      </c>
      <c r="C172" s="116" t="s">
        <v>6</v>
      </c>
      <c r="D172" s="116">
        <v>1</v>
      </c>
      <c r="E172" s="115" t="s">
        <v>482</v>
      </c>
      <c r="F172" s="116" t="s">
        <v>506</v>
      </c>
      <c r="G172" s="115">
        <v>35000</v>
      </c>
      <c r="H172" s="117">
        <v>44707</v>
      </c>
      <c r="I172" s="115">
        <v>25</v>
      </c>
      <c r="J172" s="115">
        <v>531.85</v>
      </c>
      <c r="K172" s="115">
        <v>1638.45</v>
      </c>
      <c r="L172" s="119">
        <f t="shared" ca="1" si="528"/>
        <v>0</v>
      </c>
      <c r="M172" s="119">
        <f t="shared" si="529"/>
        <v>27664.999999999996</v>
      </c>
      <c r="N172" s="115">
        <f t="shared" si="530"/>
        <v>3.0806618407445709</v>
      </c>
      <c r="O172" s="156">
        <f t="shared" si="531"/>
        <v>398.88750000000005</v>
      </c>
      <c r="P172" s="160">
        <f t="shared" si="507"/>
        <v>13296.25</v>
      </c>
      <c r="Q172" s="160" t="e">
        <f t="shared" si="532"/>
        <v>#N/A</v>
      </c>
      <c r="R172" s="153" t="e">
        <f t="shared" ca="1" si="403"/>
        <v>#VALUE!</v>
      </c>
      <c r="S172" s="119">
        <f t="shared" si="533"/>
        <v>53.184999999999988</v>
      </c>
      <c r="T172" s="115" t="str">
        <f>VLOOKUP(TRIM($F172),Reference!B:C,2,0)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72" s="170">
        <f t="shared" ca="1" si="534"/>
        <v>0</v>
      </c>
      <c r="V172" s="120" t="str">
        <f t="shared" si="395"/>
        <v>BANKNIFTY22MAY35000PE</v>
      </c>
      <c r="W172" s="158" t="e">
        <f>VLOOKUP($V172,Reference!BA:BD,4,0)</f>
        <v>#N/A</v>
      </c>
      <c r="X172" s="160">
        <f t="shared" ca="1" si="396"/>
        <v>0</v>
      </c>
      <c r="Y172" s="160">
        <f t="shared" ca="1" si="397"/>
        <v>0</v>
      </c>
      <c r="Z172" s="160">
        <f t="shared" ca="1" si="404"/>
        <v>0</v>
      </c>
      <c r="AA172" s="160">
        <f t="shared" ca="1" si="398"/>
        <v>0</v>
      </c>
      <c r="AB172" s="160">
        <f t="shared" ca="1" si="399"/>
        <v>0</v>
      </c>
      <c r="AC172" s="119">
        <f t="shared" ca="1" si="400"/>
        <v>0</v>
      </c>
      <c r="AD172" s="115">
        <f t="shared" ca="1" si="535"/>
        <v>-1.3068493150684932</v>
      </c>
      <c r="AE172" s="115">
        <f t="shared" si="536"/>
        <v>20</v>
      </c>
      <c r="AF172" s="115"/>
      <c r="AG172" s="115"/>
      <c r="AH172" s="115">
        <f t="shared" si="508"/>
        <v>0</v>
      </c>
      <c r="AI172" s="115"/>
      <c r="AJ172" s="115">
        <f t="shared" si="509"/>
        <v>0.39888750000000001</v>
      </c>
      <c r="AK172" s="115"/>
      <c r="AL172" s="142"/>
      <c r="AM172" s="153"/>
      <c r="AN172" s="153"/>
      <c r="AO172" s="153"/>
      <c r="AP172" s="153"/>
      <c r="AQ172" s="153"/>
      <c r="AR172" s="153"/>
      <c r="AS172" s="153"/>
      <c r="AT172" s="153"/>
      <c r="AU172" s="153"/>
      <c r="AV172" s="153"/>
      <c r="AW172" s="153"/>
      <c r="AX172" s="153"/>
      <c r="AY172" s="153"/>
      <c r="AZ172" s="153"/>
      <c r="BA172" s="153"/>
      <c r="BB172" s="153"/>
      <c r="BC172" s="153"/>
      <c r="BD172" s="153"/>
      <c r="BE172" s="153"/>
      <c r="BF172" s="153"/>
      <c r="BG172" s="153"/>
      <c r="BS172" s="13">
        <v>2</v>
      </c>
      <c r="BT172" s="123">
        <v>44491</v>
      </c>
      <c r="BU172" s="116" t="s">
        <v>8</v>
      </c>
      <c r="BV172" s="115" t="s">
        <v>482</v>
      </c>
      <c r="BW172" s="116" t="s">
        <v>502</v>
      </c>
      <c r="BX172" s="115">
        <v>18400</v>
      </c>
      <c r="BY172" s="115">
        <v>41.7</v>
      </c>
      <c r="BZ172" s="115">
        <v>47.945</v>
      </c>
      <c r="CA172" s="119">
        <v>-3216.6708800000001</v>
      </c>
      <c r="CB172" s="115">
        <v>1.1497601918465228</v>
      </c>
      <c r="CC172" s="115">
        <v>500</v>
      </c>
      <c r="CD172" s="115">
        <v>50</v>
      </c>
      <c r="CE172" s="119">
        <v>20850</v>
      </c>
    </row>
    <row r="173" spans="1:83" hidden="1">
      <c r="A173" s="13">
        <f t="shared" si="506"/>
        <v>166</v>
      </c>
      <c r="B173" s="123">
        <v>44671</v>
      </c>
      <c r="C173" s="116" t="s">
        <v>6</v>
      </c>
      <c r="D173" s="116">
        <v>1</v>
      </c>
      <c r="E173" s="115" t="s">
        <v>482</v>
      </c>
      <c r="F173" s="116" t="s">
        <v>284</v>
      </c>
      <c r="G173" s="115">
        <v>410</v>
      </c>
      <c r="H173" s="117">
        <v>44679</v>
      </c>
      <c r="I173" s="115">
        <v>2850</v>
      </c>
      <c r="J173" s="115">
        <v>1.5</v>
      </c>
      <c r="K173" s="115">
        <v>0.05</v>
      </c>
      <c r="L173" s="119">
        <f t="shared" ref="L173:L175" ca="1" si="537">IF(AND(K173&lt;&gt;0,I173&lt;&gt;0),(IF(C173="B",1,-1))*(K173-J173)*I173-AK173*2,0)*$D173*IF(MONTH($B$2)=MONTH($H173),1,0)</f>
        <v>0</v>
      </c>
      <c r="M173" s="119">
        <f t="shared" ref="M173:M175" si="538">IF(AND(K173&lt;&gt;0,I173&lt;&gt;0),(IF(C173="B",1,-1))*(K173-J173)*I173-AK173*2,0)*$D173</f>
        <v>-4132.5</v>
      </c>
      <c r="N173" s="115">
        <f t="shared" ref="N173:N175" si="539">K173/$J173</f>
        <v>3.3333333333333333E-2</v>
      </c>
      <c r="O173" s="156">
        <f t="shared" ref="O173:O175" si="540">J173*(1+$O$6*IF(C173="B",-1,1))</f>
        <v>1.125</v>
      </c>
      <c r="P173" s="160">
        <f>$J173*$I173*$D173</f>
        <v>4275</v>
      </c>
      <c r="Q173" s="160" t="e">
        <f t="shared" ref="Q173:Q175" si="541">(W173-J173)*I173*IF(C173="B",1,-1)*IF(K173=0,1,0)</f>
        <v>#N/A</v>
      </c>
      <c r="R173" s="153" t="e">
        <f t="shared" ca="1" si="403"/>
        <v>#VALUE!</v>
      </c>
      <c r="S173" s="119">
        <f t="shared" ref="S173:S175" si="542">(1-$S$6)*J173</f>
        <v>0.14999999999999997</v>
      </c>
      <c r="T173" s="115" t="e">
        <f>VLOOKUP(TRIM($F173),Reference!B:C,2,0)</f>
        <v>#VALUE!</v>
      </c>
      <c r="U173" s="170">
        <f t="shared" ref="U173:U175" ca="1" si="543">AC173</f>
        <v>0</v>
      </c>
      <c r="V173" s="120" t="str">
        <f t="shared" si="395"/>
        <v>TATAMOTORS22APR410PE</v>
      </c>
      <c r="W173" s="158" t="e">
        <f>VLOOKUP($V173,Reference!BA:BD,4,0)</f>
        <v>#N/A</v>
      </c>
      <c r="X173" s="160">
        <f t="shared" ca="1" si="396"/>
        <v>0</v>
      </c>
      <c r="Y173" s="160">
        <f t="shared" ca="1" si="397"/>
        <v>0</v>
      </c>
      <c r="Z173" s="160">
        <f t="shared" ca="1" si="404"/>
        <v>0</v>
      </c>
      <c r="AA173" s="160">
        <f t="shared" ca="1" si="398"/>
        <v>0</v>
      </c>
      <c r="AB173" s="160">
        <f t="shared" ca="1" si="399"/>
        <v>0</v>
      </c>
      <c r="AC173" s="119">
        <f t="shared" ca="1" si="400"/>
        <v>0</v>
      </c>
      <c r="AD173" s="115">
        <f t="shared" ref="AD173:AD175" ca="1" si="544">(H173-TODAY())/365</f>
        <v>-1.3835616438356164</v>
      </c>
      <c r="AE173" s="115">
        <f t="shared" ref="AE173:AE175" si="545">IF(I173&lt;&gt;0,20,0)</f>
        <v>20</v>
      </c>
      <c r="AF173" s="115"/>
      <c r="AG173" s="115"/>
      <c r="AH173" s="115">
        <f t="shared" si="508"/>
        <v>0</v>
      </c>
      <c r="AI173" s="115"/>
      <c r="AJ173" s="115">
        <f t="shared" si="509"/>
        <v>0.12825</v>
      </c>
      <c r="AK173" s="115"/>
      <c r="AL173" s="142"/>
      <c r="AM173" s="153"/>
      <c r="AN173" s="153"/>
      <c r="AO173" s="153"/>
      <c r="AP173" s="153"/>
      <c r="AQ173" s="153"/>
      <c r="AR173" s="153"/>
      <c r="AS173" s="153"/>
      <c r="AT173" s="153"/>
      <c r="AU173" s="153"/>
      <c r="AV173" s="153"/>
      <c r="AW173" s="153"/>
      <c r="AX173" s="153"/>
      <c r="AY173" s="153"/>
      <c r="AZ173" s="153"/>
      <c r="BA173" s="153"/>
      <c r="BB173" s="153"/>
      <c r="BC173" s="153"/>
      <c r="BD173" s="153"/>
      <c r="BE173" s="153"/>
      <c r="BF173" s="153"/>
      <c r="BG173" s="153"/>
      <c r="BS173" s="13">
        <v>2</v>
      </c>
      <c r="BT173" s="123">
        <v>44491</v>
      </c>
      <c r="BU173" s="116" t="s">
        <v>8</v>
      </c>
      <c r="BV173" s="115" t="s">
        <v>482</v>
      </c>
      <c r="BW173" s="116" t="s">
        <v>502</v>
      </c>
      <c r="BX173" s="115">
        <v>18400</v>
      </c>
      <c r="BY173" s="115">
        <v>41.7</v>
      </c>
      <c r="BZ173" s="115">
        <v>47.945</v>
      </c>
      <c r="CA173" s="119">
        <v>-3216.6708800000001</v>
      </c>
      <c r="CB173" s="115">
        <v>1.1497601918465228</v>
      </c>
      <c r="CC173" s="115">
        <v>500</v>
      </c>
      <c r="CD173" s="115">
        <v>50</v>
      </c>
      <c r="CE173" s="119">
        <v>20850</v>
      </c>
    </row>
    <row r="174" spans="1:83" hidden="1">
      <c r="A174" s="13">
        <f t="shared" si="506"/>
        <v>167</v>
      </c>
      <c r="B174" s="123">
        <v>44671</v>
      </c>
      <c r="C174" s="116" t="s">
        <v>8</v>
      </c>
      <c r="D174" s="116">
        <v>1</v>
      </c>
      <c r="E174" s="115" t="s">
        <v>481</v>
      </c>
      <c r="F174" s="116" t="s">
        <v>126</v>
      </c>
      <c r="G174" s="115">
        <v>250</v>
      </c>
      <c r="H174" s="117">
        <v>44679</v>
      </c>
      <c r="I174" s="115">
        <v>3750</v>
      </c>
      <c r="J174" s="115">
        <v>2.1</v>
      </c>
      <c r="K174" s="115">
        <v>0.05</v>
      </c>
      <c r="L174" s="119">
        <f t="shared" ca="1" si="537"/>
        <v>0</v>
      </c>
      <c r="M174" s="119">
        <f t="shared" si="538"/>
        <v>7687.5000000000009</v>
      </c>
      <c r="N174" s="115">
        <f t="shared" si="539"/>
        <v>2.3809523809523808E-2</v>
      </c>
      <c r="O174" s="156">
        <f t="shared" si="540"/>
        <v>2.625</v>
      </c>
      <c r="P174" s="160">
        <f t="shared" si="507"/>
        <v>7875</v>
      </c>
      <c r="Q174" s="160" t="e">
        <f t="shared" si="541"/>
        <v>#N/A</v>
      </c>
      <c r="R174" s="153" t="e">
        <f t="shared" ca="1" si="403"/>
        <v>#VALUE!</v>
      </c>
      <c r="S174" s="119">
        <f t="shared" si="542"/>
        <v>0.20999999999999996</v>
      </c>
      <c r="T174" s="115" t="e">
        <f>VLOOKUP(TRIM($F174),Reference!B:C,2,0)</f>
        <v>#VALUE!</v>
      </c>
      <c r="U174" s="170">
        <f t="shared" ca="1" si="543"/>
        <v>0</v>
      </c>
      <c r="V174" s="120" t="str">
        <f t="shared" si="395"/>
        <v>IEX22APR250CE</v>
      </c>
      <c r="W174" s="158" t="e">
        <f>VLOOKUP($V174,Reference!BA:BD,4,0)</f>
        <v>#N/A</v>
      </c>
      <c r="X174" s="160">
        <f t="shared" ca="1" si="396"/>
        <v>0</v>
      </c>
      <c r="Y174" s="160">
        <f t="shared" ca="1" si="397"/>
        <v>0</v>
      </c>
      <c r="Z174" s="160">
        <f t="shared" ca="1" si="404"/>
        <v>0</v>
      </c>
      <c r="AA174" s="160">
        <f t="shared" ca="1" si="398"/>
        <v>0</v>
      </c>
      <c r="AB174" s="160">
        <f t="shared" ca="1" si="399"/>
        <v>0</v>
      </c>
      <c r="AC174" s="119">
        <f t="shared" ca="1" si="400"/>
        <v>0</v>
      </c>
      <c r="AD174" s="115">
        <f t="shared" ca="1" si="544"/>
        <v>-1.3835616438356164</v>
      </c>
      <c r="AE174" s="115">
        <f t="shared" si="545"/>
        <v>20</v>
      </c>
      <c r="AF174" s="115"/>
      <c r="AG174" s="115"/>
      <c r="AH174" s="115">
        <f t="shared" si="508"/>
        <v>3.9375</v>
      </c>
      <c r="AI174" s="115"/>
      <c r="AJ174" s="115">
        <f t="shared" si="509"/>
        <v>0</v>
      </c>
      <c r="AK174" s="115"/>
      <c r="AL174" s="142"/>
      <c r="AM174" s="153"/>
      <c r="AN174" s="153"/>
      <c r="AO174" s="153"/>
      <c r="AP174" s="153"/>
      <c r="AQ174" s="153"/>
      <c r="AR174" s="153"/>
      <c r="AS174" s="153"/>
      <c r="AT174" s="153"/>
      <c r="AU174" s="153"/>
      <c r="AV174" s="153"/>
      <c r="AW174" s="153"/>
      <c r="AX174" s="153"/>
      <c r="AY174" s="153"/>
      <c r="AZ174" s="153"/>
      <c r="BA174" s="153"/>
      <c r="BB174" s="153"/>
      <c r="BC174" s="153"/>
      <c r="BD174" s="153"/>
      <c r="BE174" s="153"/>
      <c r="BF174" s="153"/>
      <c r="BG174" s="153"/>
      <c r="BS174" s="13">
        <v>2</v>
      </c>
      <c r="BT174" s="123">
        <v>44491</v>
      </c>
      <c r="BU174" s="116" t="s">
        <v>8</v>
      </c>
      <c r="BV174" s="115" t="s">
        <v>482</v>
      </c>
      <c r="BW174" s="116" t="s">
        <v>502</v>
      </c>
      <c r="BX174" s="115">
        <v>18400</v>
      </c>
      <c r="BY174" s="115">
        <v>41.7</v>
      </c>
      <c r="BZ174" s="115">
        <v>47.945</v>
      </c>
      <c r="CA174" s="119">
        <v>-3216.6708800000001</v>
      </c>
      <c r="CB174" s="115">
        <v>1.1497601918465228</v>
      </c>
      <c r="CC174" s="115">
        <v>500</v>
      </c>
      <c r="CD174" s="115">
        <v>50</v>
      </c>
      <c r="CE174" s="119">
        <v>20850</v>
      </c>
    </row>
    <row r="175" spans="1:83" hidden="1">
      <c r="A175" s="13">
        <f t="shared" si="506"/>
        <v>168</v>
      </c>
      <c r="B175" s="123">
        <v>44672</v>
      </c>
      <c r="C175" s="116" t="s">
        <v>8</v>
      </c>
      <c r="D175" s="116">
        <v>1</v>
      </c>
      <c r="E175" s="115" t="s">
        <v>481</v>
      </c>
      <c r="F175" s="116" t="s">
        <v>284</v>
      </c>
      <c r="G175" s="115">
        <v>460</v>
      </c>
      <c r="H175" s="117">
        <v>44679</v>
      </c>
      <c r="I175" s="115">
        <v>2850</v>
      </c>
      <c r="J175" s="115">
        <v>4.3499999999999996</v>
      </c>
      <c r="K175" s="115">
        <v>0.05</v>
      </c>
      <c r="L175" s="119">
        <f t="shared" ca="1" si="537"/>
        <v>0</v>
      </c>
      <c r="M175" s="119">
        <f t="shared" si="538"/>
        <v>12255</v>
      </c>
      <c r="N175" s="115">
        <f t="shared" si="539"/>
        <v>1.149425287356322E-2</v>
      </c>
      <c r="O175" s="156">
        <f t="shared" si="540"/>
        <v>5.4375</v>
      </c>
      <c r="P175" s="160">
        <f t="shared" si="507"/>
        <v>12397.499999999998</v>
      </c>
      <c r="Q175" s="160" t="e">
        <f t="shared" si="541"/>
        <v>#N/A</v>
      </c>
      <c r="R175" s="153" t="e">
        <f t="shared" ca="1" si="403"/>
        <v>#VALUE!</v>
      </c>
      <c r="S175" s="119">
        <f t="shared" si="542"/>
        <v>0.43499999999999989</v>
      </c>
      <c r="T175" s="115" t="e">
        <f>VLOOKUP(TRIM($F175),Reference!B:C,2,0)</f>
        <v>#VALUE!</v>
      </c>
      <c r="U175" s="170">
        <f t="shared" ca="1" si="543"/>
        <v>0</v>
      </c>
      <c r="V175" s="120" t="str">
        <f t="shared" si="395"/>
        <v>TATAMOTORS22APR460CE</v>
      </c>
      <c r="W175" s="158" t="e">
        <f>VLOOKUP($V175,Reference!BA:BD,4,0)</f>
        <v>#N/A</v>
      </c>
      <c r="X175" s="160">
        <f t="shared" ca="1" si="396"/>
        <v>0</v>
      </c>
      <c r="Y175" s="160">
        <f t="shared" ca="1" si="397"/>
        <v>0</v>
      </c>
      <c r="Z175" s="160">
        <f t="shared" ca="1" si="404"/>
        <v>0</v>
      </c>
      <c r="AA175" s="160">
        <f t="shared" ca="1" si="398"/>
        <v>0</v>
      </c>
      <c r="AB175" s="160">
        <f t="shared" ca="1" si="399"/>
        <v>0</v>
      </c>
      <c r="AC175" s="119">
        <f t="shared" ca="1" si="400"/>
        <v>0</v>
      </c>
      <c r="AD175" s="115">
        <f t="shared" ca="1" si="544"/>
        <v>-1.3835616438356164</v>
      </c>
      <c r="AE175" s="115">
        <f t="shared" si="545"/>
        <v>20</v>
      </c>
      <c r="AF175" s="115"/>
      <c r="AG175" s="115"/>
      <c r="AH175" s="115">
        <f t="shared" si="508"/>
        <v>6.1987499999999995</v>
      </c>
      <c r="AI175" s="115"/>
      <c r="AJ175" s="115">
        <f t="shared" si="509"/>
        <v>0</v>
      </c>
      <c r="AK175" s="115"/>
      <c r="AL175" s="142"/>
      <c r="AM175" s="153"/>
      <c r="AN175" s="153"/>
      <c r="AO175" s="153"/>
      <c r="AP175" s="153"/>
      <c r="AQ175" s="153"/>
      <c r="AR175" s="153"/>
      <c r="AS175" s="153"/>
      <c r="AT175" s="153"/>
      <c r="AU175" s="153"/>
      <c r="AV175" s="153"/>
      <c r="AW175" s="153"/>
      <c r="AX175" s="153"/>
      <c r="AY175" s="153"/>
      <c r="AZ175" s="153"/>
      <c r="BA175" s="153"/>
      <c r="BB175" s="153"/>
      <c r="BC175" s="153"/>
      <c r="BD175" s="153"/>
      <c r="BE175" s="153"/>
      <c r="BF175" s="153"/>
      <c r="BG175" s="153"/>
      <c r="BS175" s="13">
        <v>2</v>
      </c>
      <c r="BT175" s="123">
        <v>44491</v>
      </c>
      <c r="BU175" s="116" t="s">
        <v>8</v>
      </c>
      <c r="BV175" s="115" t="s">
        <v>482</v>
      </c>
      <c r="BW175" s="116" t="s">
        <v>502</v>
      </c>
      <c r="BX175" s="115">
        <v>18400</v>
      </c>
      <c r="BY175" s="115">
        <v>41.7</v>
      </c>
      <c r="BZ175" s="115">
        <v>47.945</v>
      </c>
      <c r="CA175" s="119">
        <v>-3216.6708800000001</v>
      </c>
      <c r="CB175" s="115">
        <v>1.1497601918465228</v>
      </c>
      <c r="CC175" s="115">
        <v>500</v>
      </c>
      <c r="CD175" s="115">
        <v>50</v>
      </c>
      <c r="CE175" s="119">
        <v>20850</v>
      </c>
    </row>
    <row r="176" spans="1:83" hidden="1">
      <c r="A176" s="13">
        <f t="shared" si="506"/>
        <v>169</v>
      </c>
      <c r="B176" s="123">
        <v>44672</v>
      </c>
      <c r="C176" s="116" t="s">
        <v>8</v>
      </c>
      <c r="D176" s="116">
        <v>1</v>
      </c>
      <c r="E176" s="115" t="s">
        <v>481</v>
      </c>
      <c r="F176" s="116" t="s">
        <v>284</v>
      </c>
      <c r="G176" s="115">
        <v>470</v>
      </c>
      <c r="H176" s="117">
        <v>44679</v>
      </c>
      <c r="I176" s="115">
        <v>2850</v>
      </c>
      <c r="J176" s="115">
        <v>2.5</v>
      </c>
      <c r="K176" s="115">
        <v>0.05</v>
      </c>
      <c r="L176" s="119">
        <f t="shared" ref="L176:L178" ca="1" si="546">IF(AND(K176&lt;&gt;0,I176&lt;&gt;0),(IF(C176="B",1,-1))*(K176-J176)*I176-AK176*2,0)*$D176*IF(MONTH($B$2)=MONTH($H176),1,0)</f>
        <v>0</v>
      </c>
      <c r="M176" s="119">
        <f t="shared" ref="M176:M178" si="547">IF(AND(K176&lt;&gt;0,I176&lt;&gt;0),(IF(C176="B",1,-1))*(K176-J176)*I176-AK176*2,0)*$D176</f>
        <v>6982.5000000000009</v>
      </c>
      <c r="N176" s="115">
        <f t="shared" ref="N176:N178" si="548">K176/$J176</f>
        <v>0.02</v>
      </c>
      <c r="O176" s="156">
        <f t="shared" ref="O176:O178" si="549">J176*(1+$O$6*IF(C176="B",-1,1))</f>
        <v>3.125</v>
      </c>
      <c r="P176" s="160">
        <f t="shared" si="507"/>
        <v>7125</v>
      </c>
      <c r="Q176" s="160" t="e">
        <f t="shared" ref="Q176:Q178" si="550">(W176-J176)*I176*IF(C176="B",1,-1)*IF(K176=0,1,0)</f>
        <v>#N/A</v>
      </c>
      <c r="R176" s="153" t="e">
        <f t="shared" ca="1" si="403"/>
        <v>#VALUE!</v>
      </c>
      <c r="S176" s="119">
        <f t="shared" ref="S176:S178" si="551">(1-$S$6)*J176</f>
        <v>0.24999999999999994</v>
      </c>
      <c r="T176" s="115" t="e">
        <f>VLOOKUP(TRIM($F176),Reference!B:C,2,0)</f>
        <v>#VALUE!</v>
      </c>
      <c r="U176" s="170">
        <f t="shared" ref="U176:U178" ca="1" si="552">AC176</f>
        <v>0</v>
      </c>
      <c r="V176" s="120" t="str">
        <f t="shared" si="395"/>
        <v>TATAMOTORS22APR470CE</v>
      </c>
      <c r="W176" s="158" t="e">
        <f>VLOOKUP($V176,Reference!BA:BD,4,0)</f>
        <v>#N/A</v>
      </c>
      <c r="X176" s="160">
        <f t="shared" ca="1" si="396"/>
        <v>0</v>
      </c>
      <c r="Y176" s="160">
        <f t="shared" ca="1" si="397"/>
        <v>0</v>
      </c>
      <c r="Z176" s="160">
        <f t="shared" ca="1" si="404"/>
        <v>0</v>
      </c>
      <c r="AA176" s="160">
        <f t="shared" ca="1" si="398"/>
        <v>0</v>
      </c>
      <c r="AB176" s="160">
        <f t="shared" ca="1" si="399"/>
        <v>0</v>
      </c>
      <c r="AC176" s="119">
        <f t="shared" ca="1" si="400"/>
        <v>0</v>
      </c>
      <c r="AD176" s="115">
        <f t="shared" ref="AD176:AD178" ca="1" si="553">(H176-TODAY())/365</f>
        <v>-1.3835616438356164</v>
      </c>
      <c r="AE176" s="115">
        <f t="shared" ref="AE176:AE178" si="554">IF(I176&lt;&gt;0,20,0)</f>
        <v>20</v>
      </c>
      <c r="AF176" s="115"/>
      <c r="AG176" s="115"/>
      <c r="AH176" s="115">
        <f t="shared" si="508"/>
        <v>3.5625</v>
      </c>
      <c r="AI176" s="115"/>
      <c r="AJ176" s="115">
        <f t="shared" si="509"/>
        <v>0</v>
      </c>
      <c r="AK176" s="115"/>
      <c r="AL176" s="142"/>
      <c r="AM176" s="153"/>
      <c r="AN176" s="153"/>
      <c r="AO176" s="153"/>
      <c r="AP176" s="153"/>
      <c r="AQ176" s="153"/>
      <c r="AR176" s="153"/>
      <c r="AS176" s="153"/>
      <c r="AT176" s="153"/>
      <c r="AU176" s="153"/>
      <c r="AV176" s="153"/>
      <c r="AW176" s="153"/>
      <c r="AX176" s="153"/>
      <c r="AY176" s="153"/>
      <c r="AZ176" s="153"/>
      <c r="BA176" s="153"/>
      <c r="BB176" s="153"/>
      <c r="BC176" s="153"/>
      <c r="BD176" s="153"/>
      <c r="BE176" s="153"/>
      <c r="BF176" s="153"/>
      <c r="BG176" s="153"/>
      <c r="BS176" s="13">
        <v>2</v>
      </c>
      <c r="BT176" s="123">
        <v>44491</v>
      </c>
      <c r="BU176" s="116" t="s">
        <v>8</v>
      </c>
      <c r="BV176" s="115" t="s">
        <v>482</v>
      </c>
      <c r="BW176" s="116" t="s">
        <v>502</v>
      </c>
      <c r="BX176" s="115">
        <v>18400</v>
      </c>
      <c r="BY176" s="115">
        <v>41.7</v>
      </c>
      <c r="BZ176" s="115">
        <v>47.945</v>
      </c>
      <c r="CA176" s="119">
        <v>-3216.6708800000001</v>
      </c>
      <c r="CB176" s="115">
        <v>1.1497601918465228</v>
      </c>
      <c r="CC176" s="115">
        <v>500</v>
      </c>
      <c r="CD176" s="115">
        <v>50</v>
      </c>
      <c r="CE176" s="119">
        <v>20850</v>
      </c>
    </row>
    <row r="177" spans="1:83" hidden="1">
      <c r="A177" s="13">
        <f t="shared" si="506"/>
        <v>170</v>
      </c>
      <c r="B177" s="123">
        <v>44673</v>
      </c>
      <c r="C177" s="116" t="s">
        <v>8</v>
      </c>
      <c r="D177" s="116">
        <v>1</v>
      </c>
      <c r="E177" s="115" t="s">
        <v>481</v>
      </c>
      <c r="F177" s="116" t="s">
        <v>130</v>
      </c>
      <c r="G177" s="115">
        <v>270</v>
      </c>
      <c r="H177" s="117">
        <v>44679</v>
      </c>
      <c r="I177" s="115">
        <v>6750</v>
      </c>
      <c r="J177" s="115">
        <v>2.15</v>
      </c>
      <c r="K177" s="115">
        <v>0.15</v>
      </c>
      <c r="L177" s="119">
        <f t="shared" ca="1" si="546"/>
        <v>0</v>
      </c>
      <c r="M177" s="119">
        <f t="shared" si="547"/>
        <v>13500</v>
      </c>
      <c r="N177" s="115">
        <f t="shared" si="548"/>
        <v>6.9767441860465115E-2</v>
      </c>
      <c r="O177" s="156">
        <f t="shared" si="549"/>
        <v>2.6875</v>
      </c>
      <c r="P177" s="160">
        <f t="shared" si="507"/>
        <v>14512.5</v>
      </c>
      <c r="Q177" s="160" t="e">
        <f t="shared" si="550"/>
        <v>#N/A</v>
      </c>
      <c r="R177" s="153" t="e">
        <f t="shared" ca="1" si="403"/>
        <v>#VALUE!</v>
      </c>
      <c r="S177" s="119">
        <f t="shared" si="551"/>
        <v>0.21499999999999994</v>
      </c>
      <c r="T177" s="115" t="e">
        <f>VLOOKUP(TRIM($F177),Reference!B:C,2,0)</f>
        <v>#VALUE!</v>
      </c>
      <c r="U177" s="170">
        <f t="shared" ca="1" si="552"/>
        <v>0</v>
      </c>
      <c r="V177" s="120" t="str">
        <f t="shared" si="395"/>
        <v>TATAPOWER22APR270CE</v>
      </c>
      <c r="W177" s="158" t="e">
        <f>VLOOKUP($V177,Reference!BA:BD,4,0)</f>
        <v>#N/A</v>
      </c>
      <c r="X177" s="160">
        <f t="shared" ca="1" si="396"/>
        <v>0</v>
      </c>
      <c r="Y177" s="160">
        <f t="shared" ca="1" si="397"/>
        <v>0</v>
      </c>
      <c r="Z177" s="160">
        <f t="shared" ca="1" si="404"/>
        <v>0</v>
      </c>
      <c r="AA177" s="160">
        <f t="shared" ca="1" si="398"/>
        <v>0</v>
      </c>
      <c r="AB177" s="160">
        <f t="shared" ca="1" si="399"/>
        <v>0</v>
      </c>
      <c r="AC177" s="119">
        <f t="shared" ca="1" si="400"/>
        <v>0</v>
      </c>
      <c r="AD177" s="115">
        <f t="shared" ca="1" si="553"/>
        <v>-1.3835616438356164</v>
      </c>
      <c r="AE177" s="115">
        <f t="shared" si="554"/>
        <v>20</v>
      </c>
      <c r="AF177" s="115"/>
      <c r="AG177" s="115"/>
      <c r="AH177" s="115">
        <f t="shared" si="508"/>
        <v>7.2562500000000005</v>
      </c>
      <c r="AI177" s="115"/>
      <c r="AJ177" s="115">
        <f t="shared" si="509"/>
        <v>0</v>
      </c>
      <c r="AK177" s="115"/>
      <c r="AL177" s="142"/>
      <c r="AM177" s="153"/>
      <c r="AN177" s="153"/>
      <c r="AO177" s="153"/>
      <c r="AP177" s="153"/>
      <c r="AQ177" s="153"/>
      <c r="AR177" s="153"/>
      <c r="AS177" s="153"/>
      <c r="AT177" s="153"/>
      <c r="AU177" s="153"/>
      <c r="AV177" s="153"/>
      <c r="AW177" s="153"/>
      <c r="AX177" s="153"/>
      <c r="AY177" s="153"/>
      <c r="AZ177" s="153"/>
      <c r="BA177" s="153"/>
      <c r="BB177" s="153"/>
      <c r="BC177" s="153"/>
      <c r="BD177" s="153"/>
      <c r="BE177" s="153"/>
      <c r="BF177" s="153"/>
      <c r="BG177" s="153"/>
      <c r="BS177" s="13">
        <v>2</v>
      </c>
      <c r="BT177" s="123">
        <v>44491</v>
      </c>
      <c r="BU177" s="116" t="s">
        <v>8</v>
      </c>
      <c r="BV177" s="115" t="s">
        <v>482</v>
      </c>
      <c r="BW177" s="116" t="s">
        <v>502</v>
      </c>
      <c r="BX177" s="115">
        <v>18400</v>
      </c>
      <c r="BY177" s="115">
        <v>41.7</v>
      </c>
      <c r="BZ177" s="115">
        <v>47.945</v>
      </c>
      <c r="CA177" s="119">
        <v>-3216.6708800000001</v>
      </c>
      <c r="CB177" s="115">
        <v>1.1497601918465228</v>
      </c>
      <c r="CC177" s="115">
        <v>500</v>
      </c>
      <c r="CD177" s="115">
        <v>50</v>
      </c>
      <c r="CE177" s="119">
        <v>20850</v>
      </c>
    </row>
    <row r="178" spans="1:83" hidden="1">
      <c r="A178" s="13">
        <f t="shared" si="506"/>
        <v>171</v>
      </c>
      <c r="B178" s="123">
        <v>44673</v>
      </c>
      <c r="C178" s="116" t="s">
        <v>6</v>
      </c>
      <c r="D178" s="116">
        <v>1</v>
      </c>
      <c r="E178" s="115" t="s">
        <v>632</v>
      </c>
      <c r="F178" s="116" t="s">
        <v>130</v>
      </c>
      <c r="G178" s="115"/>
      <c r="H178" s="117">
        <v>44707</v>
      </c>
      <c r="I178" s="115">
        <v>6750</v>
      </c>
      <c r="J178" s="115">
        <v>258</v>
      </c>
      <c r="K178" s="115">
        <v>212.55</v>
      </c>
      <c r="L178" s="119">
        <f t="shared" ca="1" si="546"/>
        <v>0</v>
      </c>
      <c r="M178" s="119">
        <f t="shared" si="547"/>
        <v>-306787.49999999994</v>
      </c>
      <c r="N178" s="115">
        <f t="shared" si="548"/>
        <v>0.82383720930232562</v>
      </c>
      <c r="O178" s="156">
        <f t="shared" si="549"/>
        <v>193.5</v>
      </c>
      <c r="P178" s="160">
        <f t="shared" si="507"/>
        <v>1741500</v>
      </c>
      <c r="Q178" s="160" t="e">
        <f t="shared" si="550"/>
        <v>#N/A</v>
      </c>
      <c r="R178" s="153" t="e">
        <f t="shared" ca="1" si="403"/>
        <v>#VALUE!</v>
      </c>
      <c r="S178" s="119">
        <f t="shared" si="551"/>
        <v>25.799999999999994</v>
      </c>
      <c r="T178" s="115" t="e">
        <f>VLOOKUP(TRIM($F178),Reference!B:C,2,0)</f>
        <v>#VALUE!</v>
      </c>
      <c r="U178" s="170">
        <f t="shared" ca="1" si="552"/>
        <v>0</v>
      </c>
      <c r="V178" s="120" t="str">
        <f t="shared" si="395"/>
        <v>TATAPOWER22MAYFUT</v>
      </c>
      <c r="W178" s="158" t="e">
        <f>VLOOKUP($V178,Reference!BA:BD,4,0)</f>
        <v>#N/A</v>
      </c>
      <c r="X178" s="160">
        <f t="shared" ca="1" si="396"/>
        <v>0</v>
      </c>
      <c r="Y178" s="160">
        <f t="shared" ca="1" si="397"/>
        <v>0</v>
      </c>
      <c r="Z178" s="160">
        <f t="shared" ca="1" si="404"/>
        <v>0</v>
      </c>
      <c r="AA178" s="160">
        <f t="shared" ca="1" si="398"/>
        <v>0</v>
      </c>
      <c r="AB178" s="160">
        <f t="shared" ca="1" si="399"/>
        <v>0</v>
      </c>
      <c r="AC178" s="119">
        <f t="shared" ca="1" si="400"/>
        <v>0</v>
      </c>
      <c r="AD178" s="115">
        <f t="shared" ca="1" si="553"/>
        <v>-1.3068493150684932</v>
      </c>
      <c r="AE178" s="115">
        <f t="shared" si="554"/>
        <v>20</v>
      </c>
      <c r="AF178" s="115"/>
      <c r="AG178" s="115"/>
      <c r="AH178" s="115">
        <f t="shared" si="508"/>
        <v>0</v>
      </c>
      <c r="AI178" s="115"/>
      <c r="AJ178" s="115">
        <f t="shared" si="509"/>
        <v>52.245000000000005</v>
      </c>
      <c r="AK178" s="115"/>
      <c r="AL178" s="142"/>
      <c r="AM178" s="153"/>
      <c r="AN178" s="153"/>
      <c r="AO178" s="153"/>
      <c r="AP178" s="153"/>
      <c r="AQ178" s="153"/>
      <c r="AR178" s="153"/>
      <c r="AS178" s="153"/>
      <c r="AT178" s="153"/>
      <c r="AU178" s="153"/>
      <c r="AV178" s="153"/>
      <c r="AW178" s="153"/>
      <c r="AX178" s="153"/>
      <c r="AY178" s="153"/>
      <c r="AZ178" s="153"/>
      <c r="BA178" s="153"/>
      <c r="BB178" s="153"/>
      <c r="BC178" s="153"/>
      <c r="BD178" s="153"/>
      <c r="BE178" s="153"/>
      <c r="BF178" s="153"/>
      <c r="BG178" s="153"/>
      <c r="BS178" s="13">
        <v>2</v>
      </c>
      <c r="BT178" s="123">
        <v>44491</v>
      </c>
      <c r="BU178" s="116" t="s">
        <v>8</v>
      </c>
      <c r="BV178" s="115" t="s">
        <v>482</v>
      </c>
      <c r="BW178" s="116" t="s">
        <v>502</v>
      </c>
      <c r="BX178" s="115">
        <v>18400</v>
      </c>
      <c r="BY178" s="115">
        <v>41.7</v>
      </c>
      <c r="BZ178" s="115">
        <v>47.945</v>
      </c>
      <c r="CA178" s="119">
        <v>-3216.6708800000001</v>
      </c>
      <c r="CB178" s="115">
        <v>1.1497601918465228</v>
      </c>
      <c r="CC178" s="115">
        <v>500</v>
      </c>
      <c r="CD178" s="115">
        <v>50</v>
      </c>
      <c r="CE178" s="119">
        <v>20850</v>
      </c>
    </row>
    <row r="179" spans="1:83" hidden="1">
      <c r="A179" s="13">
        <f t="shared" si="506"/>
        <v>172</v>
      </c>
      <c r="B179" s="123">
        <v>44677</v>
      </c>
      <c r="C179" s="116" t="s">
        <v>8</v>
      </c>
      <c r="D179" s="116">
        <v>1</v>
      </c>
      <c r="E179" s="115" t="s">
        <v>481</v>
      </c>
      <c r="F179" s="116" t="s">
        <v>130</v>
      </c>
      <c r="G179" s="115">
        <v>280</v>
      </c>
      <c r="H179" s="117">
        <v>44707</v>
      </c>
      <c r="I179" s="115">
        <v>6750</v>
      </c>
      <c r="J179" s="115">
        <v>3.65</v>
      </c>
      <c r="K179" s="115">
        <v>0.95</v>
      </c>
      <c r="L179" s="119">
        <f t="shared" ref="L179:L185" ca="1" si="555">IF(AND(K179&lt;&gt;0,I179&lt;&gt;0),(IF(C179="B",1,-1))*(K179-J179)*I179-AK179*2,0)*$D179*IF(MONTH($B$2)=MONTH($H179),1,0)</f>
        <v>0</v>
      </c>
      <c r="M179" s="119">
        <f t="shared" ref="M179:M185" si="556">IF(AND(K179&lt;&gt;0,I179&lt;&gt;0),(IF(C179="B",1,-1))*(K179-J179)*I179-AK179*2,0)*$D179</f>
        <v>18225</v>
      </c>
      <c r="N179" s="115">
        <f t="shared" ref="N179:N185" si="557">K179/$J179</f>
        <v>0.26027397260273971</v>
      </c>
      <c r="O179" s="156">
        <f t="shared" ref="O179:O185" si="558">J179*(1+$O$6*IF(C179="B",-1,1))</f>
        <v>4.5625</v>
      </c>
      <c r="P179" s="160">
        <f t="shared" si="507"/>
        <v>24637.5</v>
      </c>
      <c r="Q179" s="160" t="e">
        <f t="shared" ref="Q179:Q185" si="559">(W179-J179)*I179*IF(C179="B",1,-1)*IF(K179=0,1,0)</f>
        <v>#N/A</v>
      </c>
      <c r="R179" s="153" t="e">
        <f t="shared" ca="1" si="403"/>
        <v>#VALUE!</v>
      </c>
      <c r="S179" s="119">
        <f t="shared" ref="S179:S185" si="560">(1-$S$6)*J179</f>
        <v>0.36499999999999994</v>
      </c>
      <c r="T179" s="115" t="e">
        <f>VLOOKUP(TRIM($F179),Reference!B:C,2,0)</f>
        <v>#VALUE!</v>
      </c>
      <c r="U179" s="170">
        <f t="shared" ref="U179:U185" ca="1" si="561">AC179</f>
        <v>0</v>
      </c>
      <c r="V179" s="120" t="str">
        <f t="shared" si="395"/>
        <v>TATAPOWER22MAY280CE</v>
      </c>
      <c r="W179" s="158" t="e">
        <f>VLOOKUP($V179,Reference!BA:BD,4,0)</f>
        <v>#N/A</v>
      </c>
      <c r="X179" s="160">
        <f t="shared" ca="1" si="396"/>
        <v>0</v>
      </c>
      <c r="Y179" s="160">
        <f t="shared" ca="1" si="397"/>
        <v>0</v>
      </c>
      <c r="Z179" s="160">
        <f t="shared" ca="1" si="404"/>
        <v>0</v>
      </c>
      <c r="AA179" s="160">
        <f t="shared" ca="1" si="398"/>
        <v>0</v>
      </c>
      <c r="AB179" s="160">
        <f t="shared" ca="1" si="399"/>
        <v>0</v>
      </c>
      <c r="AC179" s="119">
        <f t="shared" ca="1" si="400"/>
        <v>0</v>
      </c>
      <c r="AD179" s="115">
        <f t="shared" ref="AD179:AD185" ca="1" si="562">(H179-TODAY())/365</f>
        <v>-1.3068493150684932</v>
      </c>
      <c r="AE179" s="115">
        <f t="shared" ref="AE179:AE185" si="563">IF(I179&lt;&gt;0,20,0)</f>
        <v>20</v>
      </c>
      <c r="AF179" s="115"/>
      <c r="AG179" s="115"/>
      <c r="AH179" s="115">
        <f t="shared" si="508"/>
        <v>12.31875</v>
      </c>
      <c r="AI179" s="115"/>
      <c r="AJ179" s="115">
        <f t="shared" si="509"/>
        <v>0</v>
      </c>
      <c r="AK179" s="115"/>
      <c r="AL179" s="142"/>
      <c r="AM179" s="153"/>
      <c r="AN179" s="153"/>
      <c r="AO179" s="153"/>
      <c r="AP179" s="153"/>
      <c r="AQ179" s="153"/>
      <c r="AR179" s="153"/>
      <c r="AS179" s="153"/>
      <c r="AT179" s="153"/>
      <c r="AU179" s="153"/>
      <c r="AV179" s="153"/>
      <c r="AW179" s="153"/>
      <c r="AX179" s="153"/>
      <c r="AY179" s="153"/>
      <c r="AZ179" s="153"/>
      <c r="BA179" s="153"/>
      <c r="BB179" s="153"/>
      <c r="BC179" s="153"/>
      <c r="BD179" s="153"/>
      <c r="BE179" s="153"/>
      <c r="BF179" s="153"/>
      <c r="BG179" s="153"/>
      <c r="BS179" s="13">
        <v>2</v>
      </c>
      <c r="BT179" s="123">
        <v>44491</v>
      </c>
      <c r="BU179" s="116" t="s">
        <v>8</v>
      </c>
      <c r="BV179" s="115" t="s">
        <v>482</v>
      </c>
      <c r="BW179" s="116" t="s">
        <v>502</v>
      </c>
      <c r="BX179" s="115">
        <v>18400</v>
      </c>
      <c r="BY179" s="115">
        <v>41.7</v>
      </c>
      <c r="BZ179" s="115">
        <v>47.945</v>
      </c>
      <c r="CA179" s="119">
        <v>-3216.6708800000001</v>
      </c>
      <c r="CB179" s="115">
        <v>1.1497601918465228</v>
      </c>
      <c r="CC179" s="115">
        <v>500</v>
      </c>
      <c r="CD179" s="115">
        <v>50</v>
      </c>
      <c r="CE179" s="119">
        <v>20850</v>
      </c>
    </row>
    <row r="180" spans="1:83" hidden="1">
      <c r="A180" s="13">
        <f t="shared" si="506"/>
        <v>173</v>
      </c>
      <c r="B180" s="123">
        <v>44677</v>
      </c>
      <c r="C180" s="116" t="s">
        <v>8</v>
      </c>
      <c r="D180" s="116">
        <v>1</v>
      </c>
      <c r="E180" s="115" t="s">
        <v>481</v>
      </c>
      <c r="F180" s="116" t="s">
        <v>506</v>
      </c>
      <c r="G180" s="115">
        <v>38000</v>
      </c>
      <c r="H180" s="117">
        <v>44707</v>
      </c>
      <c r="I180" s="115">
        <v>25</v>
      </c>
      <c r="J180" s="115">
        <v>317</v>
      </c>
      <c r="K180" s="115">
        <v>3.35</v>
      </c>
      <c r="L180" s="119">
        <f t="shared" ca="1" si="555"/>
        <v>0</v>
      </c>
      <c r="M180" s="119">
        <f t="shared" si="556"/>
        <v>7841.2499999999991</v>
      </c>
      <c r="N180" s="115">
        <f t="shared" si="557"/>
        <v>1.056782334384858E-2</v>
      </c>
      <c r="O180" s="156">
        <f t="shared" si="558"/>
        <v>396.25</v>
      </c>
      <c r="P180" s="160">
        <f t="shared" si="507"/>
        <v>7925</v>
      </c>
      <c r="Q180" s="160" t="e">
        <f t="shared" si="559"/>
        <v>#N/A</v>
      </c>
      <c r="R180" s="153" t="e">
        <f t="shared" ca="1" si="403"/>
        <v>#VALUE!</v>
      </c>
      <c r="S180" s="119">
        <f t="shared" si="560"/>
        <v>31.699999999999992</v>
      </c>
      <c r="T180" s="115" t="str">
        <f>VLOOKUP(TRIM($F180),Reference!B:C,2,0)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80" s="170">
        <f t="shared" ca="1" si="561"/>
        <v>0</v>
      </c>
      <c r="V180" s="120" t="str">
        <f t="shared" si="395"/>
        <v>BANKNIFTY22MAY38000CE</v>
      </c>
      <c r="W180" s="158" t="e">
        <f>VLOOKUP($V180,Reference!BA:BD,4,0)</f>
        <v>#N/A</v>
      </c>
      <c r="X180" s="160">
        <f t="shared" ca="1" si="396"/>
        <v>0</v>
      </c>
      <c r="Y180" s="160">
        <f t="shared" ca="1" si="397"/>
        <v>0</v>
      </c>
      <c r="Z180" s="160">
        <f t="shared" ca="1" si="404"/>
        <v>0</v>
      </c>
      <c r="AA180" s="160">
        <f t="shared" ca="1" si="398"/>
        <v>0</v>
      </c>
      <c r="AB180" s="160">
        <f t="shared" ca="1" si="399"/>
        <v>0</v>
      </c>
      <c r="AC180" s="119">
        <f t="shared" ca="1" si="400"/>
        <v>0</v>
      </c>
      <c r="AD180" s="115">
        <f t="shared" ca="1" si="562"/>
        <v>-1.3068493150684932</v>
      </c>
      <c r="AE180" s="115">
        <f t="shared" si="563"/>
        <v>20</v>
      </c>
      <c r="AF180" s="115"/>
      <c r="AG180" s="115"/>
      <c r="AH180" s="115">
        <f t="shared" si="508"/>
        <v>3.9624999999999999</v>
      </c>
      <c r="AI180" s="115"/>
      <c r="AJ180" s="115">
        <f t="shared" si="509"/>
        <v>0</v>
      </c>
      <c r="AK180" s="115"/>
      <c r="AL180" s="142"/>
      <c r="AM180" s="153"/>
      <c r="AN180" s="153"/>
      <c r="AO180" s="153"/>
      <c r="AP180" s="153"/>
      <c r="AQ180" s="153"/>
      <c r="AR180" s="153"/>
      <c r="AS180" s="153"/>
      <c r="AT180" s="153"/>
      <c r="AU180" s="153"/>
      <c r="AV180" s="153"/>
      <c r="AW180" s="153"/>
      <c r="AX180" s="153"/>
      <c r="AY180" s="153"/>
      <c r="AZ180" s="153"/>
      <c r="BA180" s="153"/>
      <c r="BB180" s="153"/>
      <c r="BC180" s="153"/>
      <c r="BD180" s="153"/>
      <c r="BE180" s="153"/>
      <c r="BF180" s="153"/>
      <c r="BG180" s="153"/>
      <c r="BS180" s="13">
        <v>2</v>
      </c>
      <c r="BT180" s="123">
        <v>44491</v>
      </c>
      <c r="BU180" s="116" t="s">
        <v>8</v>
      </c>
      <c r="BV180" s="115" t="s">
        <v>482</v>
      </c>
      <c r="BW180" s="116" t="s">
        <v>502</v>
      </c>
      <c r="BX180" s="115">
        <v>18400</v>
      </c>
      <c r="BY180" s="115">
        <v>41.7</v>
      </c>
      <c r="BZ180" s="115">
        <v>47.945</v>
      </c>
      <c r="CA180" s="119">
        <v>-3216.6708800000001</v>
      </c>
      <c r="CB180" s="115">
        <v>1.1497601918465228</v>
      </c>
      <c r="CC180" s="115">
        <v>500</v>
      </c>
      <c r="CD180" s="115">
        <v>50</v>
      </c>
      <c r="CE180" s="119">
        <v>20850</v>
      </c>
    </row>
    <row r="181" spans="1:83" hidden="1">
      <c r="A181" s="13">
        <f t="shared" si="506"/>
        <v>174</v>
      </c>
      <c r="B181" s="123">
        <v>44678</v>
      </c>
      <c r="C181" s="116" t="s">
        <v>6</v>
      </c>
      <c r="D181" s="116">
        <v>1</v>
      </c>
      <c r="E181" s="115" t="s">
        <v>632</v>
      </c>
      <c r="F181" s="116" t="s">
        <v>130</v>
      </c>
      <c r="G181" s="115"/>
      <c r="H181" s="117">
        <v>44707</v>
      </c>
      <c r="I181" s="115">
        <v>3375</v>
      </c>
      <c r="J181" s="115">
        <v>248.85</v>
      </c>
      <c r="K181" s="115">
        <v>250.2</v>
      </c>
      <c r="L181" s="119">
        <f t="shared" ca="1" si="555"/>
        <v>0</v>
      </c>
      <c r="M181" s="119">
        <f t="shared" si="556"/>
        <v>4556.2499999999809</v>
      </c>
      <c r="N181" s="115">
        <f t="shared" si="557"/>
        <v>1.0054249547920433</v>
      </c>
      <c r="O181" s="156">
        <f t="shared" si="558"/>
        <v>186.63749999999999</v>
      </c>
      <c r="P181" s="160">
        <f t="shared" si="507"/>
        <v>839868.75</v>
      </c>
      <c r="Q181" s="160" t="e">
        <f t="shared" si="559"/>
        <v>#N/A</v>
      </c>
      <c r="R181" s="153" t="e">
        <f t="shared" ca="1" si="403"/>
        <v>#VALUE!</v>
      </c>
      <c r="S181" s="119">
        <f t="shared" si="560"/>
        <v>24.884999999999994</v>
      </c>
      <c r="T181" s="115" t="e">
        <f>VLOOKUP(TRIM($F181),Reference!B:C,2,0)</f>
        <v>#VALUE!</v>
      </c>
      <c r="U181" s="170">
        <f t="shared" ca="1" si="561"/>
        <v>0</v>
      </c>
      <c r="V181" s="120" t="str">
        <f t="shared" si="395"/>
        <v>TATAPOWER22MAYFUT</v>
      </c>
      <c r="W181" s="158" t="e">
        <f>VLOOKUP($V181,Reference!BA:BD,4,0)</f>
        <v>#N/A</v>
      </c>
      <c r="X181" s="160">
        <f t="shared" ca="1" si="396"/>
        <v>0</v>
      </c>
      <c r="Y181" s="160">
        <f t="shared" ca="1" si="397"/>
        <v>0</v>
      </c>
      <c r="Z181" s="160">
        <f t="shared" ca="1" si="404"/>
        <v>0</v>
      </c>
      <c r="AA181" s="160">
        <f t="shared" ca="1" si="398"/>
        <v>0</v>
      </c>
      <c r="AB181" s="160">
        <f t="shared" ca="1" si="399"/>
        <v>0</v>
      </c>
      <c r="AC181" s="119">
        <f t="shared" ca="1" si="400"/>
        <v>0</v>
      </c>
      <c r="AD181" s="115">
        <f t="shared" ca="1" si="562"/>
        <v>-1.3068493150684932</v>
      </c>
      <c r="AE181" s="115">
        <f t="shared" si="563"/>
        <v>20</v>
      </c>
      <c r="AF181" s="115"/>
      <c r="AG181" s="115"/>
      <c r="AH181" s="115">
        <f t="shared" si="508"/>
        <v>0</v>
      </c>
      <c r="AI181" s="115"/>
      <c r="AJ181" s="115">
        <f t="shared" si="509"/>
        <v>25.1960625</v>
      </c>
      <c r="AK181" s="115"/>
      <c r="AL181" s="142"/>
      <c r="AM181" s="153"/>
      <c r="AN181" s="153"/>
      <c r="AO181" s="153"/>
      <c r="AP181" s="153"/>
      <c r="AQ181" s="153"/>
      <c r="AR181" s="153"/>
      <c r="AS181" s="153"/>
      <c r="AT181" s="153"/>
      <c r="AU181" s="153"/>
      <c r="AV181" s="153"/>
      <c r="AW181" s="153"/>
      <c r="AX181" s="153"/>
      <c r="AY181" s="153"/>
      <c r="AZ181" s="153"/>
      <c r="BA181" s="153"/>
      <c r="BB181" s="153"/>
      <c r="BC181" s="153"/>
      <c r="BD181" s="153"/>
      <c r="BE181" s="153"/>
      <c r="BF181" s="153"/>
      <c r="BG181" s="153"/>
      <c r="BS181" s="13">
        <v>2</v>
      </c>
      <c r="BT181" s="123">
        <v>44491</v>
      </c>
      <c r="BU181" s="116" t="s">
        <v>8</v>
      </c>
      <c r="BV181" s="115" t="s">
        <v>482</v>
      </c>
      <c r="BW181" s="116" t="s">
        <v>502</v>
      </c>
      <c r="BX181" s="115">
        <v>18400</v>
      </c>
      <c r="BY181" s="115">
        <v>41.7</v>
      </c>
      <c r="BZ181" s="115">
        <v>47.945</v>
      </c>
      <c r="CA181" s="119">
        <v>-3216.6708800000001</v>
      </c>
      <c r="CB181" s="115">
        <v>1.1497601918465228</v>
      </c>
      <c r="CC181" s="115">
        <v>500</v>
      </c>
      <c r="CD181" s="115">
        <v>50</v>
      </c>
      <c r="CE181" s="119">
        <v>20850</v>
      </c>
    </row>
    <row r="182" spans="1:83" hidden="1">
      <c r="A182" s="13">
        <f t="shared" si="506"/>
        <v>175</v>
      </c>
      <c r="B182" s="123">
        <v>44678</v>
      </c>
      <c r="C182" s="116" t="s">
        <v>6</v>
      </c>
      <c r="D182" s="116">
        <v>1</v>
      </c>
      <c r="E182" s="115" t="s">
        <v>632</v>
      </c>
      <c r="F182" s="116" t="s">
        <v>90</v>
      </c>
      <c r="G182" s="115"/>
      <c r="H182" s="117">
        <v>44707</v>
      </c>
      <c r="I182" s="115">
        <v>150</v>
      </c>
      <c r="J182" s="115">
        <v>3555.8</v>
      </c>
      <c r="K182" s="115">
        <v>3314</v>
      </c>
      <c r="L182" s="119">
        <f t="shared" ca="1" si="555"/>
        <v>0</v>
      </c>
      <c r="M182" s="119">
        <f t="shared" si="556"/>
        <v>-36270.000000000029</v>
      </c>
      <c r="N182" s="115">
        <f t="shared" si="557"/>
        <v>0.9319984251082738</v>
      </c>
      <c r="O182" s="156">
        <f t="shared" si="558"/>
        <v>2666.8500000000004</v>
      </c>
      <c r="P182" s="160">
        <f t="shared" si="507"/>
        <v>533370</v>
      </c>
      <c r="Q182" s="160" t="e">
        <f t="shared" si="559"/>
        <v>#N/A</v>
      </c>
      <c r="R182" s="153" t="e">
        <f t="shared" ca="1" si="403"/>
        <v>#VALUE!</v>
      </c>
      <c r="S182" s="119">
        <f t="shared" si="560"/>
        <v>355.57999999999993</v>
      </c>
      <c r="T182" s="115" t="e">
        <f>VLOOKUP(TRIM($F182),Reference!B:C,2,0)</f>
        <v>#VALUE!</v>
      </c>
      <c r="U182" s="170">
        <f t="shared" ca="1" si="561"/>
        <v>0</v>
      </c>
      <c r="V182" s="120" t="str">
        <f t="shared" si="395"/>
        <v>TCS22MAYFUT</v>
      </c>
      <c r="W182" s="158" t="e">
        <f>VLOOKUP($V182,Reference!BA:BD,4,0)</f>
        <v>#N/A</v>
      </c>
      <c r="X182" s="160">
        <f t="shared" ca="1" si="396"/>
        <v>0</v>
      </c>
      <c r="Y182" s="160">
        <f t="shared" ca="1" si="397"/>
        <v>0</v>
      </c>
      <c r="Z182" s="160">
        <f t="shared" ca="1" si="404"/>
        <v>0</v>
      </c>
      <c r="AA182" s="160">
        <f t="shared" ca="1" si="398"/>
        <v>0</v>
      </c>
      <c r="AB182" s="160">
        <f t="shared" ca="1" si="399"/>
        <v>0</v>
      </c>
      <c r="AC182" s="119">
        <f t="shared" ca="1" si="400"/>
        <v>0</v>
      </c>
      <c r="AD182" s="115">
        <f t="shared" ca="1" si="562"/>
        <v>-1.3068493150684932</v>
      </c>
      <c r="AE182" s="115">
        <f t="shared" si="563"/>
        <v>20</v>
      </c>
      <c r="AF182" s="115"/>
      <c r="AG182" s="115"/>
      <c r="AH182" s="115">
        <f t="shared" si="508"/>
        <v>0</v>
      </c>
      <c r="AI182" s="115"/>
      <c r="AJ182" s="115">
        <f t="shared" si="509"/>
        <v>16.001100000000001</v>
      </c>
      <c r="AK182" s="115"/>
      <c r="AL182" s="142"/>
      <c r="AM182" s="153"/>
      <c r="AN182" s="153"/>
      <c r="AO182" s="153"/>
      <c r="AP182" s="153"/>
      <c r="AQ182" s="153"/>
      <c r="AR182" s="153"/>
      <c r="AS182" s="153"/>
      <c r="AT182" s="153"/>
      <c r="AU182" s="153"/>
      <c r="AV182" s="153"/>
      <c r="AW182" s="153"/>
      <c r="AX182" s="153"/>
      <c r="AY182" s="153"/>
      <c r="AZ182" s="153"/>
      <c r="BA182" s="153"/>
      <c r="BB182" s="153"/>
      <c r="BC182" s="153"/>
      <c r="BD182" s="153"/>
      <c r="BE182" s="153"/>
      <c r="BF182" s="153"/>
      <c r="BG182" s="153"/>
      <c r="BS182" s="13">
        <v>2</v>
      </c>
      <c r="BT182" s="123">
        <v>44491</v>
      </c>
      <c r="BU182" s="116" t="s">
        <v>8</v>
      </c>
      <c r="BV182" s="115" t="s">
        <v>482</v>
      </c>
      <c r="BW182" s="116" t="s">
        <v>502</v>
      </c>
      <c r="BX182" s="115">
        <v>18400</v>
      </c>
      <c r="BY182" s="115">
        <v>41.7</v>
      </c>
      <c r="BZ182" s="115">
        <v>47.945</v>
      </c>
      <c r="CA182" s="119">
        <v>-3216.6708800000001</v>
      </c>
      <c r="CB182" s="115">
        <v>1.1497601918465228</v>
      </c>
      <c r="CC182" s="115">
        <v>500</v>
      </c>
      <c r="CD182" s="115">
        <v>50</v>
      </c>
      <c r="CE182" s="119">
        <v>20850</v>
      </c>
    </row>
    <row r="183" spans="1:83" hidden="1">
      <c r="A183" s="13">
        <f t="shared" si="506"/>
        <v>176</v>
      </c>
      <c r="B183" s="123">
        <v>44678</v>
      </c>
      <c r="C183" s="116" t="s">
        <v>6</v>
      </c>
      <c r="D183" s="116">
        <v>1</v>
      </c>
      <c r="E183" s="115" t="s">
        <v>632</v>
      </c>
      <c r="F183" s="116" t="s">
        <v>284</v>
      </c>
      <c r="G183" s="115"/>
      <c r="H183" s="117">
        <v>44707</v>
      </c>
      <c r="I183" s="115">
        <v>2850</v>
      </c>
      <c r="J183" s="115">
        <v>432.25</v>
      </c>
      <c r="K183" s="115">
        <v>433.7</v>
      </c>
      <c r="L183" s="119">
        <f t="shared" ca="1" si="555"/>
        <v>0</v>
      </c>
      <c r="M183" s="119">
        <f t="shared" si="556"/>
        <v>4132.4999999999673</v>
      </c>
      <c r="N183" s="115">
        <f t="shared" si="557"/>
        <v>1.0033545401966455</v>
      </c>
      <c r="O183" s="156">
        <f t="shared" si="558"/>
        <v>324.1875</v>
      </c>
      <c r="P183" s="160">
        <f t="shared" si="507"/>
        <v>1231912.5</v>
      </c>
      <c r="Q183" s="160" t="e">
        <f t="shared" si="559"/>
        <v>#N/A</v>
      </c>
      <c r="R183" s="153" t="e">
        <f t="shared" ca="1" si="403"/>
        <v>#VALUE!</v>
      </c>
      <c r="S183" s="119">
        <f t="shared" si="560"/>
        <v>43.224999999999987</v>
      </c>
      <c r="T183" s="115" t="e">
        <f>VLOOKUP(TRIM($F183),Reference!B:C,2,0)</f>
        <v>#VALUE!</v>
      </c>
      <c r="U183" s="170">
        <f t="shared" ca="1" si="561"/>
        <v>0</v>
      </c>
      <c r="V183" s="120" t="str">
        <f t="shared" si="395"/>
        <v>TATAMOTORS22MAYFUT</v>
      </c>
      <c r="W183" s="158" t="e">
        <f>VLOOKUP($V183,Reference!BA:BD,4,0)</f>
        <v>#N/A</v>
      </c>
      <c r="X183" s="160">
        <f t="shared" ca="1" si="396"/>
        <v>0</v>
      </c>
      <c r="Y183" s="160">
        <f t="shared" ca="1" si="397"/>
        <v>0</v>
      </c>
      <c r="Z183" s="160">
        <f t="shared" ca="1" si="404"/>
        <v>0</v>
      </c>
      <c r="AA183" s="160">
        <f t="shared" ca="1" si="398"/>
        <v>0</v>
      </c>
      <c r="AB183" s="160">
        <f t="shared" ca="1" si="399"/>
        <v>0</v>
      </c>
      <c r="AC183" s="119">
        <f t="shared" ca="1" si="400"/>
        <v>0</v>
      </c>
      <c r="AD183" s="115">
        <f t="shared" ca="1" si="562"/>
        <v>-1.3068493150684932</v>
      </c>
      <c r="AE183" s="115">
        <f t="shared" si="563"/>
        <v>20</v>
      </c>
      <c r="AF183" s="115"/>
      <c r="AG183" s="115"/>
      <c r="AH183" s="115">
        <f t="shared" si="508"/>
        <v>0</v>
      </c>
      <c r="AI183" s="115"/>
      <c r="AJ183" s="115">
        <f t="shared" si="509"/>
        <v>36.957374999999999</v>
      </c>
      <c r="AK183" s="115"/>
      <c r="AL183" s="142"/>
      <c r="AM183" s="153"/>
      <c r="AN183" s="153"/>
      <c r="AO183" s="153"/>
      <c r="AP183" s="153"/>
      <c r="AQ183" s="153"/>
      <c r="AR183" s="153"/>
      <c r="AS183" s="153"/>
      <c r="AT183" s="153"/>
      <c r="AU183" s="153"/>
      <c r="AV183" s="153"/>
      <c r="AW183" s="153"/>
      <c r="AX183" s="153"/>
      <c r="AY183" s="153"/>
      <c r="AZ183" s="153"/>
      <c r="BA183" s="153"/>
      <c r="BB183" s="153"/>
      <c r="BC183" s="153"/>
      <c r="BD183" s="153"/>
      <c r="BE183" s="153"/>
      <c r="BF183" s="153"/>
      <c r="BG183" s="153"/>
      <c r="BS183" s="13">
        <v>2</v>
      </c>
      <c r="BT183" s="123">
        <v>44491</v>
      </c>
      <c r="BU183" s="116" t="s">
        <v>8</v>
      </c>
      <c r="BV183" s="115" t="s">
        <v>482</v>
      </c>
      <c r="BW183" s="116" t="s">
        <v>502</v>
      </c>
      <c r="BX183" s="115">
        <v>18400</v>
      </c>
      <c r="BY183" s="115">
        <v>41.7</v>
      </c>
      <c r="BZ183" s="115">
        <v>47.945</v>
      </c>
      <c r="CA183" s="119">
        <v>-3216.6708800000001</v>
      </c>
      <c r="CB183" s="115">
        <v>1.1497601918465228</v>
      </c>
      <c r="CC183" s="115">
        <v>500</v>
      </c>
      <c r="CD183" s="115">
        <v>50</v>
      </c>
      <c r="CE183" s="119">
        <v>20850</v>
      </c>
    </row>
    <row r="184" spans="1:83" hidden="1">
      <c r="A184" s="13">
        <f t="shared" si="506"/>
        <v>177</v>
      </c>
      <c r="B184" s="123">
        <v>44678</v>
      </c>
      <c r="C184" s="116" t="s">
        <v>6</v>
      </c>
      <c r="D184" s="116">
        <v>1</v>
      </c>
      <c r="E184" s="115" t="s">
        <v>632</v>
      </c>
      <c r="F184" s="116" t="s">
        <v>126</v>
      </c>
      <c r="G184" s="115"/>
      <c r="H184" s="117">
        <v>44707</v>
      </c>
      <c r="I184" s="115">
        <v>7500</v>
      </c>
      <c r="J184" s="115">
        <v>219.8</v>
      </c>
      <c r="K184" s="115">
        <v>178.15</v>
      </c>
      <c r="L184" s="119">
        <f t="shared" ca="1" si="555"/>
        <v>0</v>
      </c>
      <c r="M184" s="119">
        <f t="shared" si="556"/>
        <v>-312375.00000000006</v>
      </c>
      <c r="N184" s="115">
        <f t="shared" si="557"/>
        <v>0.81050955414012738</v>
      </c>
      <c r="O184" s="156">
        <f t="shared" si="558"/>
        <v>164.85000000000002</v>
      </c>
      <c r="P184" s="160">
        <f t="shared" si="507"/>
        <v>1648500</v>
      </c>
      <c r="Q184" s="160" t="e">
        <f t="shared" si="559"/>
        <v>#N/A</v>
      </c>
      <c r="R184" s="153" t="e">
        <f t="shared" ca="1" si="403"/>
        <v>#VALUE!</v>
      </c>
      <c r="S184" s="119">
        <f t="shared" si="560"/>
        <v>21.979999999999997</v>
      </c>
      <c r="T184" s="115" t="e">
        <f>VLOOKUP(TRIM($F184),Reference!B:C,2,0)</f>
        <v>#VALUE!</v>
      </c>
      <c r="U184" s="170">
        <f t="shared" ca="1" si="561"/>
        <v>0</v>
      </c>
      <c r="V184" s="120" t="str">
        <f t="shared" si="395"/>
        <v>IEX22MAYFUT</v>
      </c>
      <c r="W184" s="158" t="e">
        <f>VLOOKUP($V184,Reference!BA:BD,4,0)</f>
        <v>#N/A</v>
      </c>
      <c r="X184" s="160">
        <f t="shared" ca="1" si="396"/>
        <v>0</v>
      </c>
      <c r="Y184" s="160">
        <f t="shared" ca="1" si="397"/>
        <v>0</v>
      </c>
      <c r="Z184" s="160">
        <f t="shared" ca="1" si="404"/>
        <v>0</v>
      </c>
      <c r="AA184" s="160">
        <f t="shared" ca="1" si="398"/>
        <v>0</v>
      </c>
      <c r="AB184" s="160">
        <f t="shared" ca="1" si="399"/>
        <v>0</v>
      </c>
      <c r="AC184" s="119">
        <f t="shared" ca="1" si="400"/>
        <v>0</v>
      </c>
      <c r="AD184" s="115">
        <f t="shared" ca="1" si="562"/>
        <v>-1.3068493150684932</v>
      </c>
      <c r="AE184" s="115">
        <f t="shared" si="563"/>
        <v>20</v>
      </c>
      <c r="AF184" s="115"/>
      <c r="AG184" s="115"/>
      <c r="AH184" s="115">
        <f t="shared" si="508"/>
        <v>0</v>
      </c>
      <c r="AI184" s="115"/>
      <c r="AJ184" s="115">
        <f t="shared" si="509"/>
        <v>49.454999999999998</v>
      </c>
      <c r="AK184" s="115"/>
      <c r="AL184" s="142"/>
      <c r="AM184" s="153"/>
      <c r="AN184" s="153"/>
      <c r="AO184" s="153"/>
      <c r="AP184" s="153"/>
      <c r="AQ184" s="153"/>
      <c r="AR184" s="153"/>
      <c r="AS184" s="153"/>
      <c r="AT184" s="153"/>
      <c r="AU184" s="153"/>
      <c r="AV184" s="153"/>
      <c r="AW184" s="153"/>
      <c r="AX184" s="153"/>
      <c r="AY184" s="153"/>
      <c r="AZ184" s="153"/>
      <c r="BA184" s="153"/>
      <c r="BB184" s="153"/>
      <c r="BC184" s="153"/>
      <c r="BD184" s="153"/>
      <c r="BE184" s="153"/>
      <c r="BF184" s="153"/>
      <c r="BG184" s="153"/>
      <c r="BS184" s="13">
        <v>2</v>
      </c>
      <c r="BT184" s="123">
        <v>44491</v>
      </c>
      <c r="BU184" s="116" t="s">
        <v>8</v>
      </c>
      <c r="BV184" s="115" t="s">
        <v>482</v>
      </c>
      <c r="BW184" s="116" t="s">
        <v>502</v>
      </c>
      <c r="BX184" s="115">
        <v>18400</v>
      </c>
      <c r="BY184" s="115">
        <v>41.7</v>
      </c>
      <c r="BZ184" s="115">
        <v>47.945</v>
      </c>
      <c r="CA184" s="119">
        <v>-3216.6708800000001</v>
      </c>
      <c r="CB184" s="115">
        <v>1.1497601918465228</v>
      </c>
      <c r="CC184" s="115">
        <v>500</v>
      </c>
      <c r="CD184" s="115">
        <v>50</v>
      </c>
      <c r="CE184" s="119">
        <v>20850</v>
      </c>
    </row>
    <row r="185" spans="1:83" hidden="1">
      <c r="A185" s="13">
        <f t="shared" si="506"/>
        <v>178</v>
      </c>
      <c r="B185" s="123">
        <v>44678</v>
      </c>
      <c r="C185" s="116" t="s">
        <v>6</v>
      </c>
      <c r="D185" s="116">
        <v>1</v>
      </c>
      <c r="E185" s="115" t="s">
        <v>632</v>
      </c>
      <c r="F185" s="116" t="s">
        <v>399</v>
      </c>
      <c r="G185" s="115"/>
      <c r="H185" s="117">
        <v>44707</v>
      </c>
      <c r="I185" s="115">
        <v>575</v>
      </c>
      <c r="J185" s="115">
        <v>1684.05</v>
      </c>
      <c r="K185" s="115">
        <v>1641.75</v>
      </c>
      <c r="L185" s="119">
        <f t="shared" ca="1" si="555"/>
        <v>0</v>
      </c>
      <c r="M185" s="119">
        <f t="shared" si="556"/>
        <v>-24322.499999999975</v>
      </c>
      <c r="N185" s="115">
        <f t="shared" si="557"/>
        <v>0.97488198093880829</v>
      </c>
      <c r="O185" s="156">
        <f t="shared" si="558"/>
        <v>1263.0374999999999</v>
      </c>
      <c r="P185" s="160">
        <f t="shared" si="507"/>
        <v>968328.75</v>
      </c>
      <c r="Q185" s="160" t="e">
        <f t="shared" si="559"/>
        <v>#N/A</v>
      </c>
      <c r="R185" s="153" t="e">
        <f t="shared" ca="1" si="403"/>
        <v>#VALUE!</v>
      </c>
      <c r="S185" s="119">
        <f t="shared" si="560"/>
        <v>168.40499999999994</v>
      </c>
      <c r="T185" s="115" t="e">
        <f>VLOOKUP(TRIM($F185),Reference!B:C,2,0)</f>
        <v>#VALUE!</v>
      </c>
      <c r="U185" s="170">
        <f t="shared" ca="1" si="561"/>
        <v>0</v>
      </c>
      <c r="V185" s="120" t="str">
        <f t="shared" si="395"/>
        <v>LT22MAYFUT</v>
      </c>
      <c r="W185" s="158" t="e">
        <f>VLOOKUP($V185,Reference!BA:BD,4,0)</f>
        <v>#N/A</v>
      </c>
      <c r="X185" s="160">
        <f t="shared" ca="1" si="396"/>
        <v>0</v>
      </c>
      <c r="Y185" s="160">
        <f t="shared" ca="1" si="397"/>
        <v>0</v>
      </c>
      <c r="Z185" s="160">
        <f t="shared" ca="1" si="404"/>
        <v>0</v>
      </c>
      <c r="AA185" s="160">
        <f t="shared" ca="1" si="398"/>
        <v>0</v>
      </c>
      <c r="AB185" s="160">
        <f t="shared" ca="1" si="399"/>
        <v>0</v>
      </c>
      <c r="AC185" s="119">
        <f t="shared" ca="1" si="400"/>
        <v>0</v>
      </c>
      <c r="AD185" s="115">
        <f t="shared" ca="1" si="562"/>
        <v>-1.3068493150684932</v>
      </c>
      <c r="AE185" s="115">
        <f t="shared" si="563"/>
        <v>20</v>
      </c>
      <c r="AF185" s="115"/>
      <c r="AG185" s="115"/>
      <c r="AH185" s="115">
        <f t="shared" si="508"/>
        <v>0</v>
      </c>
      <c r="AI185" s="115"/>
      <c r="AJ185" s="115">
        <f t="shared" si="509"/>
        <v>29.0498625</v>
      </c>
      <c r="AK185" s="115"/>
      <c r="AL185" s="142"/>
      <c r="AM185" s="153"/>
      <c r="AN185" s="153"/>
      <c r="AO185" s="153"/>
      <c r="AP185" s="153"/>
      <c r="AQ185" s="153"/>
      <c r="AR185" s="153"/>
      <c r="AS185" s="153"/>
      <c r="AT185" s="153"/>
      <c r="AU185" s="153"/>
      <c r="AV185" s="153"/>
      <c r="AW185" s="153"/>
      <c r="AX185" s="153"/>
      <c r="AY185" s="153"/>
      <c r="AZ185" s="153"/>
      <c r="BA185" s="153"/>
      <c r="BB185" s="153"/>
      <c r="BC185" s="153"/>
      <c r="BD185" s="153"/>
      <c r="BE185" s="153"/>
      <c r="BF185" s="153"/>
      <c r="BG185" s="153"/>
      <c r="BS185" s="13">
        <v>2</v>
      </c>
      <c r="BT185" s="123">
        <v>44491</v>
      </c>
      <c r="BU185" s="116" t="s">
        <v>8</v>
      </c>
      <c r="BV185" s="115" t="s">
        <v>482</v>
      </c>
      <c r="BW185" s="116" t="s">
        <v>502</v>
      </c>
      <c r="BX185" s="115">
        <v>18400</v>
      </c>
      <c r="BY185" s="115">
        <v>41.7</v>
      </c>
      <c r="BZ185" s="115">
        <v>47.945</v>
      </c>
      <c r="CA185" s="119">
        <v>-3216.6708800000001</v>
      </c>
      <c r="CB185" s="115">
        <v>1.1497601918465228</v>
      </c>
      <c r="CC185" s="115">
        <v>500</v>
      </c>
      <c r="CD185" s="115">
        <v>50</v>
      </c>
      <c r="CE185" s="119">
        <v>20850</v>
      </c>
    </row>
    <row r="186" spans="1:83" hidden="1">
      <c r="A186" s="13">
        <f t="shared" si="506"/>
        <v>179</v>
      </c>
      <c r="B186" s="123">
        <v>44678</v>
      </c>
      <c r="C186" s="116" t="s">
        <v>6</v>
      </c>
      <c r="D186" s="116">
        <v>1</v>
      </c>
      <c r="E186" s="115" t="s">
        <v>632</v>
      </c>
      <c r="F186" s="116" t="s">
        <v>381</v>
      </c>
      <c r="G186" s="115"/>
      <c r="H186" s="117">
        <v>44707</v>
      </c>
      <c r="I186" s="115">
        <v>200</v>
      </c>
      <c r="J186" s="115">
        <v>3565</v>
      </c>
      <c r="K186" s="115">
        <v>2922.6</v>
      </c>
      <c r="L186" s="119">
        <f t="shared" ref="L186:L187" ca="1" si="564">IF(AND(K186&lt;&gt;0,I186&lt;&gt;0),(IF(C186="B",1,-1))*(K186-J186)*I186-AK186*2,0)*$D186*IF(MONTH($B$2)=MONTH($H186),1,0)</f>
        <v>0</v>
      </c>
      <c r="M186" s="119">
        <f t="shared" ref="M186:M187" si="565">IF(AND(K186&lt;&gt;0,I186&lt;&gt;0),(IF(C186="B",1,-1))*(K186-J186)*I186-AK186*2,0)*$D186</f>
        <v>-128480.00000000001</v>
      </c>
      <c r="N186" s="115">
        <f t="shared" ref="N186:N187" si="566">K186/$J186</f>
        <v>0.81980364656381488</v>
      </c>
      <c r="O186" s="156">
        <f t="shared" ref="O186:O187" si="567">J186*(1+$O$6*IF(C186="B",-1,1))</f>
        <v>2673.75</v>
      </c>
      <c r="P186" s="160">
        <f t="shared" si="507"/>
        <v>713000</v>
      </c>
      <c r="Q186" s="160" t="e">
        <f t="shared" ref="Q186:Q187" si="568">(W186-J186)*I186*IF(C186="B",1,-1)*IF(K186=0,1,0)</f>
        <v>#N/A</v>
      </c>
      <c r="R186" s="153" t="e">
        <f t="shared" ca="1" si="403"/>
        <v>#VALUE!</v>
      </c>
      <c r="S186" s="119">
        <f t="shared" ref="S186:S187" si="569">(1-$S$6)*J186</f>
        <v>356.49999999999994</v>
      </c>
      <c r="T186" s="115" t="e">
        <f>VLOOKUP(TRIM($F186),Reference!B:C,2,0)</f>
        <v>#VALUE!</v>
      </c>
      <c r="U186" s="170">
        <f t="shared" ref="U186:U187" ca="1" si="570">AC186</f>
        <v>0</v>
      </c>
      <c r="V186" s="120" t="str">
        <f t="shared" si="395"/>
        <v>MINDTREE22MAYFUT</v>
      </c>
      <c r="W186" s="158" t="e">
        <f>VLOOKUP($V186,Reference!BA:BD,4,0)</f>
        <v>#N/A</v>
      </c>
      <c r="X186" s="160">
        <f t="shared" ca="1" si="396"/>
        <v>0</v>
      </c>
      <c r="Y186" s="160">
        <f t="shared" ca="1" si="397"/>
        <v>0</v>
      </c>
      <c r="Z186" s="160">
        <f t="shared" ca="1" si="404"/>
        <v>0</v>
      </c>
      <c r="AA186" s="160">
        <f t="shared" ca="1" si="398"/>
        <v>0</v>
      </c>
      <c r="AB186" s="160">
        <f t="shared" ca="1" si="399"/>
        <v>0</v>
      </c>
      <c r="AC186" s="119">
        <f t="shared" ca="1" si="400"/>
        <v>0</v>
      </c>
      <c r="AD186" s="115">
        <f t="shared" ref="AD186:AD187" ca="1" si="571">(H186-TODAY())/365</f>
        <v>-1.3068493150684932</v>
      </c>
      <c r="AE186" s="115">
        <f t="shared" ref="AE186:AE187" si="572">IF(I186&lt;&gt;0,20,0)</f>
        <v>20</v>
      </c>
      <c r="AF186" s="115"/>
      <c r="AG186" s="115"/>
      <c r="AH186" s="115">
        <f t="shared" si="508"/>
        <v>0</v>
      </c>
      <c r="AI186" s="115"/>
      <c r="AJ186" s="115">
        <f t="shared" si="509"/>
        <v>21.39</v>
      </c>
      <c r="AK186" s="115"/>
      <c r="AL186" s="142"/>
      <c r="AM186" s="153"/>
      <c r="AN186" s="153"/>
      <c r="AO186" s="153"/>
      <c r="AP186" s="153"/>
      <c r="AQ186" s="153"/>
      <c r="AR186" s="153"/>
      <c r="AS186" s="153"/>
      <c r="AT186" s="153"/>
      <c r="AU186" s="153"/>
      <c r="AV186" s="153"/>
      <c r="AW186" s="153"/>
      <c r="AX186" s="153"/>
      <c r="AY186" s="153"/>
      <c r="AZ186" s="153"/>
      <c r="BA186" s="153"/>
      <c r="BB186" s="153"/>
      <c r="BC186" s="153"/>
      <c r="BD186" s="153"/>
      <c r="BE186" s="153"/>
      <c r="BF186" s="153"/>
      <c r="BG186" s="153"/>
      <c r="BS186" s="13">
        <v>2</v>
      </c>
      <c r="BT186" s="123">
        <v>44491</v>
      </c>
      <c r="BU186" s="116" t="s">
        <v>8</v>
      </c>
      <c r="BV186" s="115" t="s">
        <v>482</v>
      </c>
      <c r="BW186" s="116" t="s">
        <v>502</v>
      </c>
      <c r="BX186" s="115">
        <v>18400</v>
      </c>
      <c r="BY186" s="115">
        <v>41.7</v>
      </c>
      <c r="BZ186" s="115">
        <v>47.945</v>
      </c>
      <c r="CA186" s="119">
        <v>-3216.6708800000001</v>
      </c>
      <c r="CB186" s="115">
        <v>1.1497601918465228</v>
      </c>
      <c r="CC186" s="115">
        <v>500</v>
      </c>
      <c r="CD186" s="115">
        <v>50</v>
      </c>
      <c r="CE186" s="119">
        <v>20850</v>
      </c>
    </row>
    <row r="187" spans="1:83" hidden="1">
      <c r="A187" s="13">
        <f t="shared" si="506"/>
        <v>180</v>
      </c>
      <c r="B187" s="123">
        <v>44679</v>
      </c>
      <c r="C187" s="116" t="s">
        <v>6</v>
      </c>
      <c r="D187" s="116">
        <v>1</v>
      </c>
      <c r="E187" s="115" t="s">
        <v>632</v>
      </c>
      <c r="F187" s="116" t="s">
        <v>284</v>
      </c>
      <c r="G187" s="115"/>
      <c r="H187" s="117">
        <v>44707</v>
      </c>
      <c r="I187" s="115">
        <v>1425</v>
      </c>
      <c r="J187" s="115">
        <v>432.25</v>
      </c>
      <c r="K187" s="115">
        <v>424.9</v>
      </c>
      <c r="L187" s="119">
        <f t="shared" ca="1" si="564"/>
        <v>0</v>
      </c>
      <c r="M187" s="119">
        <f t="shared" si="565"/>
        <v>-10473.750000000033</v>
      </c>
      <c r="N187" s="115">
        <f t="shared" si="566"/>
        <v>0.98299595141700402</v>
      </c>
      <c r="O187" s="156">
        <f t="shared" si="567"/>
        <v>324.1875</v>
      </c>
      <c r="P187" s="160">
        <f t="shared" si="507"/>
        <v>615956.25</v>
      </c>
      <c r="Q187" s="160" t="e">
        <f t="shared" si="568"/>
        <v>#N/A</v>
      </c>
      <c r="R187" s="153" t="e">
        <f t="shared" ca="1" si="403"/>
        <v>#VALUE!</v>
      </c>
      <c r="S187" s="119">
        <f t="shared" si="569"/>
        <v>43.224999999999987</v>
      </c>
      <c r="T187" s="115" t="e">
        <f>VLOOKUP(TRIM($F187),Reference!B:C,2,0)</f>
        <v>#VALUE!</v>
      </c>
      <c r="U187" s="170">
        <f t="shared" ca="1" si="570"/>
        <v>0</v>
      </c>
      <c r="V187" s="120" t="str">
        <f t="shared" si="395"/>
        <v>TATAMOTORS22MAYFUT</v>
      </c>
      <c r="W187" s="158" t="e">
        <f>VLOOKUP($V187,Reference!BA:BD,4,0)</f>
        <v>#N/A</v>
      </c>
      <c r="X187" s="160">
        <f t="shared" ca="1" si="396"/>
        <v>0</v>
      </c>
      <c r="Y187" s="160">
        <f t="shared" ca="1" si="397"/>
        <v>0</v>
      </c>
      <c r="Z187" s="160">
        <f t="shared" ca="1" si="404"/>
        <v>0</v>
      </c>
      <c r="AA187" s="160">
        <f t="shared" ca="1" si="398"/>
        <v>0</v>
      </c>
      <c r="AB187" s="160">
        <f t="shared" ca="1" si="399"/>
        <v>0</v>
      </c>
      <c r="AC187" s="119">
        <f t="shared" ca="1" si="400"/>
        <v>0</v>
      </c>
      <c r="AD187" s="115">
        <f t="shared" ca="1" si="571"/>
        <v>-1.3068493150684932</v>
      </c>
      <c r="AE187" s="115">
        <f t="shared" si="572"/>
        <v>20</v>
      </c>
      <c r="AF187" s="115"/>
      <c r="AG187" s="115"/>
      <c r="AH187" s="115">
        <f t="shared" si="508"/>
        <v>0</v>
      </c>
      <c r="AI187" s="115"/>
      <c r="AJ187" s="115">
        <f t="shared" si="509"/>
        <v>18.478687499999999</v>
      </c>
      <c r="AK187" s="115"/>
      <c r="AL187" s="142"/>
      <c r="AM187" s="153"/>
      <c r="AN187" s="153"/>
      <c r="AO187" s="153"/>
      <c r="AP187" s="153"/>
      <c r="AQ187" s="153"/>
      <c r="AR187" s="153"/>
      <c r="AS187" s="153"/>
      <c r="AT187" s="153"/>
      <c r="AU187" s="153"/>
      <c r="AV187" s="153"/>
      <c r="AW187" s="153"/>
      <c r="AX187" s="153"/>
      <c r="AY187" s="153"/>
      <c r="AZ187" s="153"/>
      <c r="BA187" s="153"/>
      <c r="BB187" s="153"/>
      <c r="BC187" s="153"/>
      <c r="BD187" s="153"/>
      <c r="BE187" s="153"/>
      <c r="BF187" s="153"/>
      <c r="BG187" s="153"/>
      <c r="BS187" s="13">
        <v>2</v>
      </c>
      <c r="BT187" s="123">
        <v>44491</v>
      </c>
      <c r="BU187" s="116" t="s">
        <v>8</v>
      </c>
      <c r="BV187" s="115" t="s">
        <v>482</v>
      </c>
      <c r="BW187" s="116" t="s">
        <v>502</v>
      </c>
      <c r="BX187" s="115">
        <v>18400</v>
      </c>
      <c r="BY187" s="115">
        <v>41.7</v>
      </c>
      <c r="BZ187" s="115">
        <v>47.945</v>
      </c>
      <c r="CA187" s="119">
        <v>-3216.6708800000001</v>
      </c>
      <c r="CB187" s="115">
        <v>1.1497601918465228</v>
      </c>
      <c r="CC187" s="115">
        <v>500</v>
      </c>
      <c r="CD187" s="115">
        <v>50</v>
      </c>
      <c r="CE187" s="119">
        <v>20850</v>
      </c>
    </row>
    <row r="188" spans="1:83" hidden="1">
      <c r="A188" s="13">
        <f t="shared" si="506"/>
        <v>181</v>
      </c>
      <c r="B188" s="123">
        <v>44679</v>
      </c>
      <c r="C188" s="116" t="s">
        <v>8</v>
      </c>
      <c r="D188" s="116">
        <v>1</v>
      </c>
      <c r="E188" s="115" t="s">
        <v>482</v>
      </c>
      <c r="F188" s="116" t="s">
        <v>284</v>
      </c>
      <c r="G188" s="115">
        <v>410</v>
      </c>
      <c r="H188" s="117">
        <v>44707</v>
      </c>
      <c r="I188" s="115">
        <v>1425</v>
      </c>
      <c r="J188" s="115">
        <v>10.35</v>
      </c>
      <c r="K188" s="115">
        <v>13.6</v>
      </c>
      <c r="L188" s="119">
        <f t="shared" ref="L188" ca="1" si="573">IF(AND(K188&lt;&gt;0,I188&lt;&gt;0),(IF(C188="B",1,-1))*(K188-J188)*I188-AK188*2,0)*$D188*IF(MONTH($B$2)=MONTH($H188),1,0)</f>
        <v>0</v>
      </c>
      <c r="M188" s="119">
        <f t="shared" ref="M188" si="574">IF(AND(K188&lt;&gt;0,I188&lt;&gt;0),(IF(C188="B",1,-1))*(K188-J188)*I188-AK188*2,0)*$D188</f>
        <v>-4631.25</v>
      </c>
      <c r="N188" s="115">
        <f t="shared" ref="N188" si="575">K188/$J188</f>
        <v>1.3140096618357489</v>
      </c>
      <c r="O188" s="156">
        <f t="shared" ref="O188" si="576">J188*(1+$O$6*IF(C188="B",-1,1))</f>
        <v>12.9375</v>
      </c>
      <c r="P188" s="160">
        <f t="shared" si="507"/>
        <v>14748.75</v>
      </c>
      <c r="Q188" s="160" t="e">
        <f t="shared" ref="Q188" si="577">(W188-J188)*I188*IF(C188="B",1,-1)*IF(K188=0,1,0)</f>
        <v>#N/A</v>
      </c>
      <c r="R188" s="153" t="e">
        <f t="shared" ca="1" si="403"/>
        <v>#VALUE!</v>
      </c>
      <c r="S188" s="119">
        <f t="shared" ref="S188" si="578">(1-$S$6)*J188</f>
        <v>1.0349999999999997</v>
      </c>
      <c r="T188" s="115" t="e">
        <f>VLOOKUP(TRIM($F188),Reference!B:C,2,0)</f>
        <v>#VALUE!</v>
      </c>
      <c r="U188" s="170">
        <f t="shared" ref="U188" ca="1" si="579">AC188</f>
        <v>0</v>
      </c>
      <c r="V188" s="120" t="str">
        <f t="shared" si="395"/>
        <v>TATAMOTORS22MAY410PE</v>
      </c>
      <c r="W188" s="158" t="e">
        <f>VLOOKUP($V188,Reference!BA:BD,4,0)</f>
        <v>#N/A</v>
      </c>
      <c r="X188" s="160">
        <f t="shared" ca="1" si="396"/>
        <v>0</v>
      </c>
      <c r="Y188" s="160">
        <f t="shared" ca="1" si="397"/>
        <v>0</v>
      </c>
      <c r="Z188" s="160">
        <f t="shared" ca="1" si="404"/>
        <v>0</v>
      </c>
      <c r="AA188" s="160">
        <f t="shared" ca="1" si="398"/>
        <v>0</v>
      </c>
      <c r="AB188" s="160">
        <f t="shared" ca="1" si="399"/>
        <v>0</v>
      </c>
      <c r="AC188" s="119">
        <f t="shared" ca="1" si="400"/>
        <v>0</v>
      </c>
      <c r="AD188" s="115">
        <f t="shared" ref="AD188" ca="1" si="580">(H188-TODAY())/365</f>
        <v>-1.3068493150684932</v>
      </c>
      <c r="AE188" s="115">
        <f t="shared" ref="AE188" si="581">IF(I188&lt;&gt;0,20,0)</f>
        <v>20</v>
      </c>
      <c r="AF188" s="115"/>
      <c r="AG188" s="115"/>
      <c r="AH188" s="115">
        <f t="shared" si="508"/>
        <v>7.3743750000000006</v>
      </c>
      <c r="AI188" s="115"/>
      <c r="AJ188" s="115">
        <f t="shared" si="509"/>
        <v>0</v>
      </c>
      <c r="AK188" s="115"/>
      <c r="AL188" s="142"/>
      <c r="AM188" s="153"/>
      <c r="AN188" s="153"/>
      <c r="AO188" s="153"/>
      <c r="AP188" s="153"/>
      <c r="AQ188" s="153"/>
      <c r="AR188" s="153"/>
      <c r="AS188" s="153"/>
      <c r="AT188" s="153"/>
      <c r="AU188" s="153"/>
      <c r="AV188" s="153"/>
      <c r="AW188" s="153"/>
      <c r="AX188" s="153"/>
      <c r="AY188" s="153"/>
      <c r="AZ188" s="153"/>
      <c r="BA188" s="153"/>
      <c r="BB188" s="153"/>
      <c r="BC188" s="153"/>
      <c r="BD188" s="153"/>
      <c r="BE188" s="153"/>
      <c r="BF188" s="153"/>
      <c r="BG188" s="153"/>
      <c r="BS188" s="13">
        <v>2</v>
      </c>
      <c r="BT188" s="123">
        <v>44491</v>
      </c>
      <c r="BU188" s="116" t="s">
        <v>8</v>
      </c>
      <c r="BV188" s="115" t="s">
        <v>482</v>
      </c>
      <c r="BW188" s="116" t="s">
        <v>502</v>
      </c>
      <c r="BX188" s="115">
        <v>18400</v>
      </c>
      <c r="BY188" s="115">
        <v>41.7</v>
      </c>
      <c r="BZ188" s="115">
        <v>47.945</v>
      </c>
      <c r="CA188" s="119">
        <v>-3216.6708800000001</v>
      </c>
      <c r="CB188" s="115">
        <v>1.1497601918465228</v>
      </c>
      <c r="CC188" s="115">
        <v>500</v>
      </c>
      <c r="CD188" s="115">
        <v>50</v>
      </c>
      <c r="CE188" s="119">
        <v>20850</v>
      </c>
    </row>
    <row r="189" spans="1:83" hidden="1">
      <c r="A189" s="13">
        <f t="shared" si="506"/>
        <v>182</v>
      </c>
      <c r="B189" s="123">
        <v>44679</v>
      </c>
      <c r="C189" s="116" t="s">
        <v>8</v>
      </c>
      <c r="D189" s="116">
        <v>1</v>
      </c>
      <c r="E189" s="115" t="s">
        <v>482</v>
      </c>
      <c r="F189" s="116" t="s">
        <v>126</v>
      </c>
      <c r="G189" s="115">
        <v>205</v>
      </c>
      <c r="H189" s="117">
        <v>44707</v>
      </c>
      <c r="I189" s="115">
        <v>3750</v>
      </c>
      <c r="J189" s="115">
        <v>7</v>
      </c>
      <c r="K189" s="115">
        <v>15.35</v>
      </c>
      <c r="L189" s="119">
        <f t="shared" ref="L189" ca="1" si="582">IF(AND(K189&lt;&gt;0,I189&lt;&gt;0),(IF(C189="B",1,-1))*(K189-J189)*I189-AK189*2,0)*$D189*IF(MONTH($B$2)=MONTH($H189),1,0)</f>
        <v>0</v>
      </c>
      <c r="M189" s="119">
        <f t="shared" ref="M189" si="583">IF(AND(K189&lt;&gt;0,I189&lt;&gt;0),(IF(C189="B",1,-1))*(K189-J189)*I189-AK189*2,0)*$D189</f>
        <v>-31312.5</v>
      </c>
      <c r="N189" s="115">
        <f t="shared" ref="N189" si="584">K189/$J189</f>
        <v>2.1928571428571426</v>
      </c>
      <c r="O189" s="156">
        <f t="shared" ref="O189" si="585">J189*(1+$O$6*IF(C189="B",-1,1))</f>
        <v>8.75</v>
      </c>
      <c r="P189" s="160">
        <f t="shared" si="507"/>
        <v>26250</v>
      </c>
      <c r="Q189" s="160" t="e">
        <f t="shared" ref="Q189" si="586">(W189-J189)*I189*IF(C189="B",1,-1)*IF(K189=0,1,0)</f>
        <v>#N/A</v>
      </c>
      <c r="R189" s="153" t="e">
        <f t="shared" ca="1" si="403"/>
        <v>#VALUE!</v>
      </c>
      <c r="S189" s="119">
        <f t="shared" ref="S189" si="587">(1-$S$6)*J189</f>
        <v>0.69999999999999984</v>
      </c>
      <c r="T189" s="115" t="e">
        <f>VLOOKUP(TRIM($F189),Reference!B:C,2,0)</f>
        <v>#VALUE!</v>
      </c>
      <c r="U189" s="170">
        <f t="shared" ref="U189" ca="1" si="588">AC189</f>
        <v>0</v>
      </c>
      <c r="V189" s="120" t="str">
        <f t="shared" si="395"/>
        <v>IEX22MAY205PE</v>
      </c>
      <c r="W189" s="158" t="e">
        <f>VLOOKUP($V189,Reference!BA:BD,4,0)</f>
        <v>#N/A</v>
      </c>
      <c r="X189" s="160">
        <f t="shared" ca="1" si="396"/>
        <v>0</v>
      </c>
      <c r="Y189" s="160">
        <f t="shared" ca="1" si="397"/>
        <v>0</v>
      </c>
      <c r="Z189" s="160">
        <f t="shared" ca="1" si="404"/>
        <v>0</v>
      </c>
      <c r="AA189" s="160">
        <f t="shared" ca="1" si="398"/>
        <v>0</v>
      </c>
      <c r="AB189" s="160">
        <f t="shared" ca="1" si="399"/>
        <v>0</v>
      </c>
      <c r="AC189" s="119">
        <f t="shared" ca="1" si="400"/>
        <v>0</v>
      </c>
      <c r="AD189" s="115">
        <f t="shared" ref="AD189" ca="1" si="589">(H189-TODAY())/365</f>
        <v>-1.3068493150684932</v>
      </c>
      <c r="AE189" s="115">
        <f t="shared" ref="AE189" si="590">IF(I189&lt;&gt;0,20,0)</f>
        <v>20</v>
      </c>
      <c r="AF189" s="115"/>
      <c r="AG189" s="115"/>
      <c r="AH189" s="115">
        <f t="shared" si="508"/>
        <v>13.125</v>
      </c>
      <c r="AI189" s="115"/>
      <c r="AJ189" s="115">
        <f t="shared" si="509"/>
        <v>0</v>
      </c>
      <c r="AK189" s="115"/>
      <c r="AL189" s="142"/>
      <c r="AM189" s="153"/>
      <c r="AN189" s="153"/>
      <c r="AO189" s="153"/>
      <c r="AP189" s="153"/>
      <c r="AQ189" s="153"/>
      <c r="AR189" s="153"/>
      <c r="AS189" s="153"/>
      <c r="AT189" s="153"/>
      <c r="AU189" s="153"/>
      <c r="AV189" s="153"/>
      <c r="AW189" s="153"/>
      <c r="AX189" s="153"/>
      <c r="AY189" s="153"/>
      <c r="AZ189" s="153"/>
      <c r="BA189" s="153"/>
      <c r="BB189" s="153"/>
      <c r="BC189" s="153"/>
      <c r="BD189" s="153"/>
      <c r="BE189" s="153"/>
      <c r="BF189" s="153"/>
      <c r="BG189" s="153"/>
      <c r="BS189" s="13">
        <v>2</v>
      </c>
      <c r="BT189" s="123">
        <v>44491</v>
      </c>
      <c r="BU189" s="116" t="s">
        <v>8</v>
      </c>
      <c r="BV189" s="115" t="s">
        <v>482</v>
      </c>
      <c r="BW189" s="116" t="s">
        <v>502</v>
      </c>
      <c r="BX189" s="115">
        <v>18400</v>
      </c>
      <c r="BY189" s="115">
        <v>41.7</v>
      </c>
      <c r="BZ189" s="115">
        <v>47.945</v>
      </c>
      <c r="CA189" s="119">
        <v>-3216.6708800000001</v>
      </c>
      <c r="CB189" s="115">
        <v>1.1497601918465228</v>
      </c>
      <c r="CC189" s="115">
        <v>500</v>
      </c>
      <c r="CD189" s="115">
        <v>50</v>
      </c>
      <c r="CE189" s="119">
        <v>20850</v>
      </c>
    </row>
    <row r="190" spans="1:83" hidden="1">
      <c r="A190" s="13">
        <f t="shared" si="506"/>
        <v>183</v>
      </c>
      <c r="B190" s="123">
        <v>44679</v>
      </c>
      <c r="C190" s="116" t="s">
        <v>8</v>
      </c>
      <c r="D190" s="116">
        <v>1</v>
      </c>
      <c r="E190" s="115" t="s">
        <v>481</v>
      </c>
      <c r="F190" s="116" t="s">
        <v>502</v>
      </c>
      <c r="G190" s="115">
        <v>18000</v>
      </c>
      <c r="H190" s="117">
        <v>44707</v>
      </c>
      <c r="I190" s="115">
        <v>100</v>
      </c>
      <c r="J190" s="115">
        <v>67.599999999999994</v>
      </c>
      <c r="K190" s="115">
        <v>6.95</v>
      </c>
      <c r="L190" s="119">
        <f t="shared" ref="L190" ca="1" si="591">IF(AND(K190&lt;&gt;0,I190&lt;&gt;0),(IF(C190="B",1,-1))*(K190-J190)*I190-AK190*2,0)*$D190*IF(MONTH($B$2)=MONTH($H190),1,0)</f>
        <v>0</v>
      </c>
      <c r="M190" s="119">
        <f t="shared" ref="M190" si="592">IF(AND(K190&lt;&gt;0,I190&lt;&gt;0),(IF(C190="B",1,-1))*(K190-J190)*I190-AK190*2,0)*$D190</f>
        <v>6064.9999999999991</v>
      </c>
      <c r="N190" s="115">
        <f t="shared" ref="N190" si="593">K190/$J190</f>
        <v>0.10281065088757398</v>
      </c>
      <c r="O190" s="156">
        <f t="shared" ref="O190" si="594">J190*(1+$O$6*IF(C190="B",-1,1))</f>
        <v>84.5</v>
      </c>
      <c r="P190" s="160">
        <f t="shared" si="507"/>
        <v>6759.9999999999991</v>
      </c>
      <c r="Q190" s="160" t="e">
        <f t="shared" ref="Q190" si="595">(W190-J190)*I190*IF(C190="B",1,-1)*IF(K190=0,1,0)</f>
        <v>#N/A</v>
      </c>
      <c r="R190" s="153" t="e">
        <f t="shared" ca="1" si="403"/>
        <v>#VALUE!</v>
      </c>
      <c r="S190" s="119">
        <f t="shared" ref="S190" si="596">(1-$S$6)*J190</f>
        <v>6.759999999999998</v>
      </c>
      <c r="T190" s="115" t="str">
        <f>VLOOKUP(TRIM($F190),Reference!B:C,2,0)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90" s="170">
        <f t="shared" ref="U190" ca="1" si="597">AC190</f>
        <v>0</v>
      </c>
      <c r="V190" s="120" t="str">
        <f t="shared" si="395"/>
        <v>NIFTY22MAY18000CE</v>
      </c>
      <c r="W190" s="158" t="e">
        <f>VLOOKUP($V190,Reference!BA:BD,4,0)</f>
        <v>#N/A</v>
      </c>
      <c r="X190" s="160">
        <f t="shared" ca="1" si="396"/>
        <v>0</v>
      </c>
      <c r="Y190" s="160">
        <f t="shared" ca="1" si="397"/>
        <v>0</v>
      </c>
      <c r="Z190" s="160">
        <f t="shared" ca="1" si="404"/>
        <v>0</v>
      </c>
      <c r="AA190" s="160">
        <f t="shared" ca="1" si="398"/>
        <v>0</v>
      </c>
      <c r="AB190" s="160">
        <f t="shared" ca="1" si="399"/>
        <v>0</v>
      </c>
      <c r="AC190" s="119">
        <f t="shared" ca="1" si="400"/>
        <v>0</v>
      </c>
      <c r="AD190" s="115">
        <f t="shared" ref="AD190" ca="1" si="598">(H190-TODAY())/365</f>
        <v>-1.3068493150684932</v>
      </c>
      <c r="AE190" s="115">
        <f t="shared" ref="AE190" si="599">IF(I190&lt;&gt;0,20,0)</f>
        <v>20</v>
      </c>
      <c r="AF190" s="115"/>
      <c r="AG190" s="115"/>
      <c r="AH190" s="115">
        <f t="shared" si="508"/>
        <v>3.3799999999999994</v>
      </c>
      <c r="AI190" s="115"/>
      <c r="AJ190" s="115">
        <f t="shared" si="509"/>
        <v>0</v>
      </c>
      <c r="AK190" s="115"/>
      <c r="AL190" s="142"/>
      <c r="AM190" s="153"/>
      <c r="AN190" s="153"/>
      <c r="AO190" s="153"/>
      <c r="AP190" s="153"/>
      <c r="AQ190" s="153"/>
      <c r="AR190" s="153"/>
      <c r="AS190" s="153"/>
      <c r="AT190" s="153"/>
      <c r="AU190" s="153"/>
      <c r="AV190" s="153"/>
      <c r="AW190" s="153"/>
      <c r="AX190" s="153"/>
      <c r="AY190" s="153"/>
      <c r="AZ190" s="153"/>
      <c r="BA190" s="153"/>
      <c r="BB190" s="153"/>
      <c r="BC190" s="153"/>
      <c r="BD190" s="153"/>
      <c r="BE190" s="153"/>
      <c r="BF190" s="153"/>
      <c r="BG190" s="153"/>
      <c r="BS190" s="13">
        <v>2</v>
      </c>
      <c r="BT190" s="123">
        <v>44491</v>
      </c>
      <c r="BU190" s="116" t="s">
        <v>8</v>
      </c>
      <c r="BV190" s="115" t="s">
        <v>482</v>
      </c>
      <c r="BW190" s="116" t="s">
        <v>502</v>
      </c>
      <c r="BX190" s="115">
        <v>18400</v>
      </c>
      <c r="BY190" s="115">
        <v>41.7</v>
      </c>
      <c r="BZ190" s="115">
        <v>47.945</v>
      </c>
      <c r="CA190" s="119">
        <v>-3216.6708800000001</v>
      </c>
      <c r="CB190" s="115">
        <v>1.1497601918465228</v>
      </c>
      <c r="CC190" s="115">
        <v>500</v>
      </c>
      <c r="CD190" s="115">
        <v>50</v>
      </c>
      <c r="CE190" s="119">
        <v>20850</v>
      </c>
    </row>
    <row r="191" spans="1:83" hidden="1">
      <c r="A191" s="13">
        <f t="shared" si="506"/>
        <v>184</v>
      </c>
      <c r="B191" s="123">
        <v>44679</v>
      </c>
      <c r="C191" s="116" t="s">
        <v>8</v>
      </c>
      <c r="D191" s="116">
        <v>1</v>
      </c>
      <c r="E191" s="115" t="s">
        <v>481</v>
      </c>
      <c r="F191" s="116" t="s">
        <v>502</v>
      </c>
      <c r="G191" s="115">
        <v>18000</v>
      </c>
      <c r="H191" s="117">
        <v>44742</v>
      </c>
      <c r="I191" s="115">
        <v>100</v>
      </c>
      <c r="J191" s="115">
        <v>179</v>
      </c>
      <c r="K191" s="115">
        <v>30.5</v>
      </c>
      <c r="L191" s="119">
        <f t="shared" ref="L191" ca="1" si="600">IF(AND(K191&lt;&gt;0,I191&lt;&gt;0),(IF(C191="B",1,-1))*(K191-J191)*I191-AK191*2,0)*$D191*IF(MONTH($B$2)=MONTH($H191),1,0)</f>
        <v>0</v>
      </c>
      <c r="M191" s="119">
        <f t="shared" ref="M191" si="601">IF(AND(K191&lt;&gt;0,I191&lt;&gt;0),(IF(C191="B",1,-1))*(K191-J191)*I191-AK191*2,0)*$D191</f>
        <v>14850</v>
      </c>
      <c r="N191" s="115">
        <f t="shared" ref="N191" si="602">K191/$J191</f>
        <v>0.17039106145251395</v>
      </c>
      <c r="O191" s="156">
        <f t="shared" ref="O191" si="603">J191*(1+$O$6*IF(C191="B",-1,1))</f>
        <v>223.75</v>
      </c>
      <c r="P191" s="160">
        <f t="shared" si="507"/>
        <v>17900</v>
      </c>
      <c r="Q191" s="160" t="e">
        <f t="shared" ref="Q191" si="604">(W191-J191)*I191*IF(C191="B",1,-1)*IF(K191=0,1,0)</f>
        <v>#N/A</v>
      </c>
      <c r="R191" s="153" t="e">
        <f t="shared" ca="1" si="403"/>
        <v>#VALUE!</v>
      </c>
      <c r="S191" s="119">
        <f t="shared" ref="S191" si="605">(1-$S$6)*J191</f>
        <v>17.899999999999995</v>
      </c>
      <c r="T191" s="115" t="str">
        <f>VLOOKUP(TRIM($F191),Reference!B:C,2,0)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91" s="170">
        <f t="shared" ref="U191" ca="1" si="606">AC191</f>
        <v>0</v>
      </c>
      <c r="V191" s="120" t="str">
        <f t="shared" si="395"/>
        <v>NIFTY22JUN18000CE</v>
      </c>
      <c r="W191" s="158" t="e">
        <f>VLOOKUP($V191,Reference!BA:BD,4,0)</f>
        <v>#N/A</v>
      </c>
      <c r="X191" s="160">
        <f t="shared" ca="1" si="396"/>
        <v>0</v>
      </c>
      <c r="Y191" s="160">
        <f t="shared" ca="1" si="397"/>
        <v>0</v>
      </c>
      <c r="Z191" s="160">
        <f t="shared" ca="1" si="404"/>
        <v>0</v>
      </c>
      <c r="AA191" s="160">
        <f t="shared" ca="1" si="398"/>
        <v>0</v>
      </c>
      <c r="AB191" s="160">
        <f t="shared" ca="1" si="399"/>
        <v>0</v>
      </c>
      <c r="AC191" s="119">
        <f t="shared" ca="1" si="400"/>
        <v>0</v>
      </c>
      <c r="AD191" s="115">
        <f t="shared" ref="AD191" ca="1" si="607">(H191-TODAY())/365</f>
        <v>-1.210958904109589</v>
      </c>
      <c r="AE191" s="115">
        <f t="shared" ref="AE191" si="608">IF(I191&lt;&gt;0,20,0)</f>
        <v>20</v>
      </c>
      <c r="AF191" s="115"/>
      <c r="AG191" s="115"/>
      <c r="AH191" s="115">
        <f t="shared" si="508"/>
        <v>8.9500000000000011</v>
      </c>
      <c r="AI191" s="115"/>
      <c r="AJ191" s="115">
        <f t="shared" si="509"/>
        <v>0</v>
      </c>
      <c r="AK191" s="115"/>
      <c r="AL191" s="142"/>
      <c r="AM191" s="153"/>
      <c r="AN191" s="153"/>
      <c r="AO191" s="153"/>
      <c r="AP191" s="153"/>
      <c r="AQ191" s="153"/>
      <c r="AR191" s="153"/>
      <c r="AS191" s="153"/>
      <c r="AT191" s="153"/>
      <c r="AU191" s="153"/>
      <c r="AV191" s="153"/>
      <c r="AW191" s="153"/>
      <c r="AX191" s="153"/>
      <c r="AY191" s="153"/>
      <c r="AZ191" s="153"/>
      <c r="BA191" s="153"/>
      <c r="BB191" s="153"/>
      <c r="BC191" s="153"/>
      <c r="BD191" s="153"/>
      <c r="BE191" s="153"/>
      <c r="BF191" s="153"/>
      <c r="BG191" s="153"/>
      <c r="BS191" s="13">
        <v>2</v>
      </c>
      <c r="BT191" s="123">
        <v>44491</v>
      </c>
      <c r="BU191" s="116" t="s">
        <v>8</v>
      </c>
      <c r="BV191" s="115" t="s">
        <v>482</v>
      </c>
      <c r="BW191" s="116" t="s">
        <v>502</v>
      </c>
      <c r="BX191" s="115">
        <v>18400</v>
      </c>
      <c r="BY191" s="115">
        <v>41.7</v>
      </c>
      <c r="BZ191" s="115">
        <v>47.945</v>
      </c>
      <c r="CA191" s="119">
        <v>-3216.6708800000001</v>
      </c>
      <c r="CB191" s="115">
        <v>1.1497601918465228</v>
      </c>
      <c r="CC191" s="115">
        <v>500</v>
      </c>
      <c r="CD191" s="115">
        <v>50</v>
      </c>
      <c r="CE191" s="119">
        <v>20850</v>
      </c>
    </row>
    <row r="192" spans="1:83" hidden="1">
      <c r="A192" s="13">
        <f t="shared" si="506"/>
        <v>185</v>
      </c>
      <c r="B192" s="123">
        <v>44679</v>
      </c>
      <c r="C192" s="116" t="s">
        <v>8</v>
      </c>
      <c r="D192" s="116">
        <v>1</v>
      </c>
      <c r="E192" s="115" t="s">
        <v>482</v>
      </c>
      <c r="F192" s="116" t="s">
        <v>502</v>
      </c>
      <c r="G192" s="115">
        <v>16000</v>
      </c>
      <c r="H192" s="117">
        <v>44742</v>
      </c>
      <c r="I192" s="115">
        <v>50</v>
      </c>
      <c r="J192" s="115">
        <v>164.5</v>
      </c>
      <c r="K192" s="115">
        <v>440</v>
      </c>
      <c r="L192" s="119">
        <f t="shared" ref="L192:L193" ca="1" si="609">IF(AND(K192&lt;&gt;0,I192&lt;&gt;0),(IF(C192="B",1,-1))*(K192-J192)*I192-AK192*2,0)*$D192*IF(MONTH($B$2)=MONTH($H192),1,0)</f>
        <v>0</v>
      </c>
      <c r="M192" s="119">
        <f t="shared" ref="M192:M193" si="610">IF(AND(K192&lt;&gt;0,I192&lt;&gt;0),(IF(C192="B",1,-1))*(K192-J192)*I192-AK192*2,0)*$D192</f>
        <v>-13775</v>
      </c>
      <c r="N192" s="115">
        <f t="shared" ref="N192:N193" si="611">K192/$J192</f>
        <v>2.6747720364741641</v>
      </c>
      <c r="O192" s="156">
        <f t="shared" ref="O192:O193" si="612">J192*(1+$O$6*IF(C192="B",-1,1))</f>
        <v>205.625</v>
      </c>
      <c r="P192" s="160">
        <f t="shared" si="507"/>
        <v>8225</v>
      </c>
      <c r="Q192" s="160" t="e">
        <f t="shared" ref="Q192:Q193" si="613">(W192-J192)*I192*IF(C192="B",1,-1)*IF(K192=0,1,0)</f>
        <v>#N/A</v>
      </c>
      <c r="R192" s="153" t="e">
        <f t="shared" ca="1" si="403"/>
        <v>#VALUE!</v>
      </c>
      <c r="S192" s="119">
        <f t="shared" ref="S192:S193" si="614">(1-$S$6)*J192</f>
        <v>16.449999999999996</v>
      </c>
      <c r="T192" s="115" t="str">
        <f>VLOOKUP(TRIM($F192),Reference!B:C,2,0)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92" s="170">
        <f t="shared" ref="U192:U193" ca="1" si="615">AC192</f>
        <v>0</v>
      </c>
      <c r="V192" s="120" t="str">
        <f t="shared" si="395"/>
        <v>NIFTY22JUN16000PE</v>
      </c>
      <c r="W192" s="158" t="e">
        <f>VLOOKUP($V192,Reference!BA:BD,4,0)</f>
        <v>#N/A</v>
      </c>
      <c r="X192" s="160">
        <f t="shared" ca="1" si="396"/>
        <v>0</v>
      </c>
      <c r="Y192" s="160">
        <f t="shared" ca="1" si="397"/>
        <v>0</v>
      </c>
      <c r="Z192" s="160">
        <f t="shared" ca="1" si="404"/>
        <v>0</v>
      </c>
      <c r="AA192" s="160">
        <f t="shared" ca="1" si="398"/>
        <v>0</v>
      </c>
      <c r="AB192" s="160">
        <f t="shared" ca="1" si="399"/>
        <v>0</v>
      </c>
      <c r="AC192" s="119">
        <f t="shared" ca="1" si="400"/>
        <v>0</v>
      </c>
      <c r="AD192" s="115">
        <f t="shared" ref="AD192:AD193" ca="1" si="616">(H192-TODAY())/365</f>
        <v>-1.210958904109589</v>
      </c>
      <c r="AE192" s="115">
        <f t="shared" ref="AE192:AE193" si="617">IF(I192&lt;&gt;0,20,0)</f>
        <v>20</v>
      </c>
      <c r="AF192" s="115"/>
      <c r="AG192" s="115"/>
      <c r="AH192" s="115">
        <f t="shared" si="508"/>
        <v>4.1124999999999998</v>
      </c>
      <c r="AI192" s="115"/>
      <c r="AJ192" s="115">
        <f t="shared" si="509"/>
        <v>0</v>
      </c>
      <c r="AK192" s="115"/>
      <c r="AL192" s="142"/>
      <c r="AM192" s="153"/>
      <c r="AN192" s="153"/>
      <c r="AO192" s="153"/>
      <c r="AP192" s="153"/>
      <c r="AQ192" s="153"/>
      <c r="AR192" s="153"/>
      <c r="AS192" s="153"/>
      <c r="AT192" s="153"/>
      <c r="AU192" s="153"/>
      <c r="AV192" s="153"/>
      <c r="AW192" s="153"/>
      <c r="AX192" s="153"/>
      <c r="AY192" s="153"/>
      <c r="AZ192" s="153"/>
      <c r="BA192" s="153"/>
      <c r="BB192" s="153"/>
      <c r="BC192" s="153"/>
      <c r="BD192" s="153"/>
      <c r="BE192" s="153"/>
      <c r="BF192" s="153"/>
      <c r="BG192" s="153"/>
      <c r="BS192" s="13">
        <v>2</v>
      </c>
      <c r="BT192" s="123">
        <v>44491</v>
      </c>
      <c r="BU192" s="116" t="s">
        <v>8</v>
      </c>
      <c r="BV192" s="115" t="s">
        <v>482</v>
      </c>
      <c r="BW192" s="116" t="s">
        <v>502</v>
      </c>
      <c r="BX192" s="115">
        <v>18400</v>
      </c>
      <c r="BY192" s="115">
        <v>41.7</v>
      </c>
      <c r="BZ192" s="115">
        <v>47.945</v>
      </c>
      <c r="CA192" s="119">
        <v>-3216.6708800000001</v>
      </c>
      <c r="CB192" s="115">
        <v>1.1497601918465228</v>
      </c>
      <c r="CC192" s="115">
        <v>500</v>
      </c>
      <c r="CD192" s="115">
        <v>50</v>
      </c>
      <c r="CE192" s="119">
        <v>20850</v>
      </c>
    </row>
    <row r="193" spans="1:83" hidden="1">
      <c r="A193" s="13">
        <f t="shared" si="506"/>
        <v>186</v>
      </c>
      <c r="B193" s="123">
        <v>44679</v>
      </c>
      <c r="C193" s="116" t="s">
        <v>6</v>
      </c>
      <c r="D193" s="116">
        <v>1</v>
      </c>
      <c r="E193" s="115" t="s">
        <v>632</v>
      </c>
      <c r="F193" s="116" t="s">
        <v>506</v>
      </c>
      <c r="G193" s="115"/>
      <c r="H193" s="117">
        <v>44707</v>
      </c>
      <c r="I193" s="115">
        <v>25</v>
      </c>
      <c r="J193" s="115">
        <v>36129.85</v>
      </c>
      <c r="K193" s="115">
        <v>34629.15</v>
      </c>
      <c r="L193" s="119">
        <f t="shared" ca="1" si="609"/>
        <v>0</v>
      </c>
      <c r="M193" s="119">
        <f t="shared" si="610"/>
        <v>-37517.499999999927</v>
      </c>
      <c r="N193" s="115">
        <f t="shared" si="611"/>
        <v>0.95846370798660951</v>
      </c>
      <c r="O193" s="156">
        <f t="shared" si="612"/>
        <v>27097.387499999997</v>
      </c>
      <c r="P193" s="160">
        <f t="shared" si="507"/>
        <v>903246.25</v>
      </c>
      <c r="Q193" s="160" t="e">
        <f t="shared" si="613"/>
        <v>#N/A</v>
      </c>
      <c r="R193" s="153" t="e">
        <f t="shared" ca="1" si="403"/>
        <v>#VALUE!</v>
      </c>
      <c r="S193" s="119">
        <f t="shared" si="614"/>
        <v>3612.9849999999992</v>
      </c>
      <c r="T193" s="115" t="str">
        <f>VLOOKUP(TRIM($F193),Reference!B:C,2,0)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93" s="170">
        <f t="shared" ca="1" si="615"/>
        <v>0</v>
      </c>
      <c r="V193" s="120" t="str">
        <f t="shared" si="395"/>
        <v>BANKNIFTY22MAYFUT</v>
      </c>
      <c r="W193" s="158" t="e">
        <f>VLOOKUP($V193,Reference!BA:BD,4,0)</f>
        <v>#N/A</v>
      </c>
      <c r="X193" s="160">
        <f t="shared" ca="1" si="396"/>
        <v>0</v>
      </c>
      <c r="Y193" s="160">
        <f t="shared" ca="1" si="397"/>
        <v>0</v>
      </c>
      <c r="Z193" s="160">
        <f t="shared" ca="1" si="404"/>
        <v>0</v>
      </c>
      <c r="AA193" s="160">
        <f t="shared" ca="1" si="398"/>
        <v>0</v>
      </c>
      <c r="AB193" s="160">
        <f t="shared" ca="1" si="399"/>
        <v>0</v>
      </c>
      <c r="AC193" s="119">
        <f t="shared" ca="1" si="400"/>
        <v>0</v>
      </c>
      <c r="AD193" s="115">
        <f t="shared" ca="1" si="616"/>
        <v>-1.3068493150684932</v>
      </c>
      <c r="AE193" s="115">
        <f t="shared" si="617"/>
        <v>20</v>
      </c>
      <c r="AF193" s="115"/>
      <c r="AG193" s="115"/>
      <c r="AH193" s="115">
        <f t="shared" si="508"/>
        <v>0</v>
      </c>
      <c r="AI193" s="115"/>
      <c r="AJ193" s="115">
        <f t="shared" si="509"/>
        <v>27.0973875</v>
      </c>
      <c r="AK193" s="115"/>
      <c r="AL193" s="142"/>
      <c r="AM193" s="153"/>
      <c r="AN193" s="153"/>
      <c r="AO193" s="153"/>
      <c r="AP193" s="153"/>
      <c r="AQ193" s="153"/>
      <c r="AR193" s="153"/>
      <c r="AS193" s="153"/>
      <c r="AT193" s="153"/>
      <c r="AU193" s="153"/>
      <c r="AV193" s="153"/>
      <c r="AW193" s="153"/>
      <c r="AX193" s="153"/>
      <c r="AY193" s="153"/>
      <c r="AZ193" s="153"/>
      <c r="BA193" s="153"/>
      <c r="BB193" s="153"/>
      <c r="BC193" s="153"/>
      <c r="BD193" s="153"/>
      <c r="BE193" s="153"/>
      <c r="BF193" s="153"/>
      <c r="BG193" s="153"/>
      <c r="BS193" s="13">
        <v>2</v>
      </c>
      <c r="BT193" s="123">
        <v>44491</v>
      </c>
      <c r="BU193" s="116" t="s">
        <v>8</v>
      </c>
      <c r="BV193" s="115" t="s">
        <v>482</v>
      </c>
      <c r="BW193" s="116" t="s">
        <v>502</v>
      </c>
      <c r="BX193" s="115">
        <v>18400</v>
      </c>
      <c r="BY193" s="115">
        <v>41.7</v>
      </c>
      <c r="BZ193" s="115">
        <v>47.945</v>
      </c>
      <c r="CA193" s="119">
        <v>-3216.6708800000001</v>
      </c>
      <c r="CB193" s="115">
        <v>1.1497601918465228</v>
      </c>
      <c r="CC193" s="115">
        <v>500</v>
      </c>
      <c r="CD193" s="115">
        <v>50</v>
      </c>
      <c r="CE193" s="119">
        <v>20850</v>
      </c>
    </row>
    <row r="194" spans="1:83" hidden="1">
      <c r="A194" s="13">
        <f t="shared" si="506"/>
        <v>187</v>
      </c>
      <c r="B194" s="123">
        <v>44679</v>
      </c>
      <c r="C194" s="116" t="s">
        <v>6</v>
      </c>
      <c r="D194" s="116">
        <v>1</v>
      </c>
      <c r="E194" s="115" t="s">
        <v>632</v>
      </c>
      <c r="F194" s="116" t="s">
        <v>502</v>
      </c>
      <c r="G194" s="115"/>
      <c r="H194" s="117">
        <v>44707</v>
      </c>
      <c r="I194" s="115">
        <v>50</v>
      </c>
      <c r="J194" s="115">
        <v>17163.25</v>
      </c>
      <c r="K194" s="115">
        <v>16076.6</v>
      </c>
      <c r="L194" s="119">
        <f t="shared" ref="L194" ca="1" si="618">IF(AND(K194&lt;&gt;0,I194&lt;&gt;0),(IF(C194="B",1,-1))*(K194-J194)*I194-AK194*2,0)*$D194*IF(MONTH($B$2)=MONTH($H194),1,0)</f>
        <v>0</v>
      </c>
      <c r="M194" s="119">
        <f t="shared" ref="M194" si="619">IF(AND(K194&lt;&gt;0,I194&lt;&gt;0),(IF(C194="B",1,-1))*(K194-J194)*I194-AK194*2,0)*$D194</f>
        <v>-54332.499999999985</v>
      </c>
      <c r="N194" s="115">
        <f t="shared" ref="N194" si="620">K194/$J194</f>
        <v>0.93668739894833442</v>
      </c>
      <c r="O194" s="156">
        <f t="shared" ref="O194" si="621">J194*(1+$O$6*IF(C194="B",-1,1))</f>
        <v>12872.4375</v>
      </c>
      <c r="P194" s="160">
        <f t="shared" si="507"/>
        <v>858162.5</v>
      </c>
      <c r="Q194" s="160" t="e">
        <f t="shared" ref="Q194" si="622">(W194-J194)*I194*IF(C194="B",1,-1)*IF(K194=0,1,0)</f>
        <v>#N/A</v>
      </c>
      <c r="R194" s="153" t="e">
        <f t="shared" ca="1" si="403"/>
        <v>#VALUE!</v>
      </c>
      <c r="S194" s="119">
        <f t="shared" ref="S194" si="623">(1-$S$6)*J194</f>
        <v>1716.3249999999996</v>
      </c>
      <c r="T194" s="115" t="str">
        <f>VLOOKUP(TRIM($F194),Reference!B:C,2,0)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94" s="170">
        <f t="shared" ref="U194" ca="1" si="624">AC194</f>
        <v>0</v>
      </c>
      <c r="V194" s="120" t="str">
        <f t="shared" si="395"/>
        <v>NIFTY22MAYFUT</v>
      </c>
      <c r="W194" s="158" t="e">
        <f>VLOOKUP($V194,Reference!BA:BD,4,0)</f>
        <v>#N/A</v>
      </c>
      <c r="X194" s="160">
        <f t="shared" ca="1" si="396"/>
        <v>0</v>
      </c>
      <c r="Y194" s="160">
        <f t="shared" ca="1" si="397"/>
        <v>0</v>
      </c>
      <c r="Z194" s="160">
        <f t="shared" ca="1" si="404"/>
        <v>0</v>
      </c>
      <c r="AA194" s="160">
        <f t="shared" ca="1" si="398"/>
        <v>0</v>
      </c>
      <c r="AB194" s="160">
        <f t="shared" ca="1" si="399"/>
        <v>0</v>
      </c>
      <c r="AC194" s="119">
        <f t="shared" ca="1" si="400"/>
        <v>0</v>
      </c>
      <c r="AD194" s="115">
        <f t="shared" ref="AD194" ca="1" si="625">(H194-TODAY())/365</f>
        <v>-1.3068493150684932</v>
      </c>
      <c r="AE194" s="115">
        <f t="shared" ref="AE194" si="626">IF(I194&lt;&gt;0,20,0)</f>
        <v>20</v>
      </c>
      <c r="AF194" s="115"/>
      <c r="AG194" s="115"/>
      <c r="AH194" s="115">
        <f t="shared" si="508"/>
        <v>0</v>
      </c>
      <c r="AI194" s="115"/>
      <c r="AJ194" s="115">
        <f t="shared" si="509"/>
        <v>25.744875</v>
      </c>
      <c r="AK194" s="115"/>
      <c r="AL194" s="142"/>
      <c r="AM194" s="153"/>
      <c r="AN194" s="153"/>
      <c r="AO194" s="153"/>
      <c r="AP194" s="153"/>
      <c r="AQ194" s="153"/>
      <c r="AR194" s="153"/>
      <c r="AS194" s="153"/>
      <c r="AT194" s="153"/>
      <c r="AU194" s="153"/>
      <c r="AV194" s="153"/>
      <c r="AW194" s="153"/>
      <c r="AX194" s="153"/>
      <c r="AY194" s="153"/>
      <c r="AZ194" s="153"/>
      <c r="BA194" s="153"/>
      <c r="BB194" s="153"/>
      <c r="BC194" s="153"/>
      <c r="BD194" s="153"/>
      <c r="BE194" s="153"/>
      <c r="BF194" s="153"/>
      <c r="BG194" s="153"/>
      <c r="BS194" s="13">
        <v>2</v>
      </c>
      <c r="BT194" s="123">
        <v>44491</v>
      </c>
      <c r="BU194" s="116" t="s">
        <v>8</v>
      </c>
      <c r="BV194" s="115" t="s">
        <v>482</v>
      </c>
      <c r="BW194" s="116" t="s">
        <v>502</v>
      </c>
      <c r="BX194" s="115">
        <v>18400</v>
      </c>
      <c r="BY194" s="115">
        <v>41.7</v>
      </c>
      <c r="BZ194" s="115">
        <v>47.945</v>
      </c>
      <c r="CA194" s="119">
        <v>-3216.6708800000001</v>
      </c>
      <c r="CB194" s="115">
        <v>1.1497601918465228</v>
      </c>
      <c r="CC194" s="115">
        <v>500</v>
      </c>
      <c r="CD194" s="115">
        <v>50</v>
      </c>
      <c r="CE194" s="119">
        <v>20850</v>
      </c>
    </row>
    <row r="195" spans="1:83" hidden="1">
      <c r="A195" s="13">
        <f t="shared" si="506"/>
        <v>188</v>
      </c>
      <c r="B195" s="123">
        <v>44679</v>
      </c>
      <c r="C195" s="116" t="s">
        <v>6</v>
      </c>
      <c r="D195" s="116">
        <v>1</v>
      </c>
      <c r="E195" s="115" t="s">
        <v>632</v>
      </c>
      <c r="F195" s="116" t="s">
        <v>502</v>
      </c>
      <c r="G195" s="115"/>
      <c r="H195" s="117">
        <v>44742</v>
      </c>
      <c r="I195" s="115">
        <v>50</v>
      </c>
      <c r="J195" s="115">
        <v>17191.3</v>
      </c>
      <c r="K195" s="115">
        <v>16578.95</v>
      </c>
      <c r="L195" s="119">
        <f t="shared" ref="L195:L196" ca="1" si="627">IF(AND(K195&lt;&gt;0,I195&lt;&gt;0),(IF(C195="B",1,-1))*(K195-J195)*I195-AK195*2,0)*$D195*IF(MONTH($B$2)=MONTH($H195),1,0)</f>
        <v>0</v>
      </c>
      <c r="M195" s="119">
        <f t="shared" ref="M195:M196" si="628">IF(AND(K195&lt;&gt;0,I195&lt;&gt;0),(IF(C195="B",1,-1))*(K195-J195)*I195-AK195*2,0)*$D195</f>
        <v>-30617.499999999927</v>
      </c>
      <c r="N195" s="115">
        <f t="shared" ref="N195:N196" si="629">K195/$J195</f>
        <v>0.96438023884173985</v>
      </c>
      <c r="O195" s="156">
        <f t="shared" ref="O195:O196" si="630">J195*(1+$O$6*IF(C195="B",-1,1))</f>
        <v>12893.474999999999</v>
      </c>
      <c r="P195" s="160">
        <f t="shared" si="507"/>
        <v>859565</v>
      </c>
      <c r="Q195" s="160" t="e">
        <f t="shared" ref="Q195" si="631">(W195-J195)*I195*IF(C195="B",1,-1)*IF(K195=0,1,0)</f>
        <v>#N/A</v>
      </c>
      <c r="R195" s="153" t="e">
        <f t="shared" ca="1" si="403"/>
        <v>#VALUE!</v>
      </c>
      <c r="S195" s="119">
        <f t="shared" ref="S195:S196" si="632">(1-$S$6)*J195</f>
        <v>1719.1299999999997</v>
      </c>
      <c r="T195" s="115" t="str">
        <f>VLOOKUP(TRIM($F195),Reference!B:C,2,0)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95" s="170">
        <f t="shared" ref="U195:U196" ca="1" si="633">AC195</f>
        <v>0</v>
      </c>
      <c r="V195" s="120" t="str">
        <f t="shared" si="395"/>
        <v>NIFTY22JUNFUT</v>
      </c>
      <c r="W195" s="158" t="e">
        <f>VLOOKUP($V195,Reference!BA:BD,4,0)</f>
        <v>#N/A</v>
      </c>
      <c r="X195" s="160">
        <f t="shared" ca="1" si="396"/>
        <v>0</v>
      </c>
      <c r="Y195" s="160">
        <f t="shared" ca="1" si="397"/>
        <v>0</v>
      </c>
      <c r="Z195" s="160">
        <f t="shared" ca="1" si="404"/>
        <v>0</v>
      </c>
      <c r="AA195" s="160">
        <f t="shared" ca="1" si="398"/>
        <v>0</v>
      </c>
      <c r="AB195" s="160">
        <f t="shared" ca="1" si="399"/>
        <v>0</v>
      </c>
      <c r="AC195" s="119">
        <f t="shared" ca="1" si="400"/>
        <v>0</v>
      </c>
      <c r="AD195" s="115">
        <f t="shared" ref="AD195:AD196" ca="1" si="634">(H195-TODAY())/365</f>
        <v>-1.210958904109589</v>
      </c>
      <c r="AE195" s="115">
        <f t="shared" ref="AE195:AE196" si="635">IF(I195&lt;&gt;0,20,0)</f>
        <v>20</v>
      </c>
      <c r="AF195" s="115"/>
      <c r="AG195" s="115"/>
      <c r="AH195" s="115">
        <f t="shared" si="508"/>
        <v>0</v>
      </c>
      <c r="AI195" s="115"/>
      <c r="AJ195" s="115">
        <f t="shared" si="509"/>
        <v>25.786950000000001</v>
      </c>
      <c r="AK195" s="115"/>
      <c r="AL195" s="142"/>
      <c r="AM195" s="153"/>
      <c r="AN195" s="153"/>
      <c r="AO195" s="153"/>
      <c r="AP195" s="153"/>
      <c r="AQ195" s="153"/>
      <c r="AR195" s="153"/>
      <c r="AS195" s="153"/>
      <c r="AT195" s="153"/>
      <c r="AU195" s="153"/>
      <c r="AV195" s="153"/>
      <c r="AW195" s="153"/>
      <c r="AX195" s="153"/>
      <c r="AY195" s="153"/>
      <c r="AZ195" s="153"/>
      <c r="BA195" s="153"/>
      <c r="BB195" s="153"/>
      <c r="BC195" s="153"/>
      <c r="BD195" s="153"/>
      <c r="BE195" s="153"/>
      <c r="BF195" s="153"/>
      <c r="BG195" s="153"/>
      <c r="BS195" s="13">
        <v>2</v>
      </c>
      <c r="BT195" s="123">
        <v>44491</v>
      </c>
      <c r="BU195" s="116" t="s">
        <v>8</v>
      </c>
      <c r="BV195" s="115" t="s">
        <v>482</v>
      </c>
      <c r="BW195" s="116" t="s">
        <v>502</v>
      </c>
      <c r="BX195" s="115">
        <v>18400</v>
      </c>
      <c r="BY195" s="115">
        <v>41.7</v>
      </c>
      <c r="BZ195" s="115">
        <v>47.945</v>
      </c>
      <c r="CA195" s="119">
        <v>-3216.6708800000001</v>
      </c>
      <c r="CB195" s="115">
        <v>1.1497601918465228</v>
      </c>
      <c r="CC195" s="115">
        <v>500</v>
      </c>
      <c r="CD195" s="115">
        <v>50</v>
      </c>
      <c r="CE195" s="119">
        <v>20850</v>
      </c>
    </row>
    <row r="196" spans="1:83" hidden="1">
      <c r="A196" s="13">
        <f t="shared" si="506"/>
        <v>189</v>
      </c>
      <c r="B196" s="123">
        <v>44679</v>
      </c>
      <c r="C196" s="116" t="s">
        <v>8</v>
      </c>
      <c r="D196" s="116">
        <v>1</v>
      </c>
      <c r="E196" s="115" t="s">
        <v>481</v>
      </c>
      <c r="F196" s="116" t="s">
        <v>126</v>
      </c>
      <c r="G196" s="115">
        <v>240</v>
      </c>
      <c r="H196" s="117">
        <v>44707</v>
      </c>
      <c r="I196" s="115">
        <v>3750</v>
      </c>
      <c r="J196" s="115">
        <v>3.9</v>
      </c>
      <c r="K196" s="115">
        <v>0.85</v>
      </c>
      <c r="L196" s="119">
        <f t="shared" ca="1" si="627"/>
        <v>0</v>
      </c>
      <c r="M196" s="119">
        <f t="shared" si="628"/>
        <v>11437.5</v>
      </c>
      <c r="N196" s="115">
        <f t="shared" si="629"/>
        <v>0.21794871794871795</v>
      </c>
      <c r="O196" s="156">
        <f t="shared" si="630"/>
        <v>4.875</v>
      </c>
      <c r="P196" s="160">
        <f t="shared" si="507"/>
        <v>14625</v>
      </c>
      <c r="Q196" s="160" t="e">
        <f>(W196-J196)*I196*IF(C196="B",1,-1)*IF(K196=0,1,0)</f>
        <v>#N/A</v>
      </c>
      <c r="R196" s="153" t="e">
        <f t="shared" ca="1" si="403"/>
        <v>#VALUE!</v>
      </c>
      <c r="S196" s="119">
        <f t="shared" si="632"/>
        <v>0.3899999999999999</v>
      </c>
      <c r="T196" s="115" t="e">
        <f>VLOOKUP(TRIM($F196),Reference!B:C,2,0)</f>
        <v>#VALUE!</v>
      </c>
      <c r="U196" s="170">
        <f t="shared" ca="1" si="633"/>
        <v>0</v>
      </c>
      <c r="V196" s="120" t="str">
        <f t="shared" si="395"/>
        <v>IEX22MAY240CE</v>
      </c>
      <c r="W196" s="158" t="e">
        <f>VLOOKUP($V196,Reference!BA:BD,4,0)</f>
        <v>#N/A</v>
      </c>
      <c r="X196" s="160">
        <f t="shared" ca="1" si="396"/>
        <v>0</v>
      </c>
      <c r="Y196" s="160">
        <f t="shared" ca="1" si="397"/>
        <v>0</v>
      </c>
      <c r="Z196" s="160">
        <f t="shared" ca="1" si="404"/>
        <v>0</v>
      </c>
      <c r="AA196" s="160">
        <f t="shared" ca="1" si="398"/>
        <v>0</v>
      </c>
      <c r="AB196" s="160">
        <f t="shared" ca="1" si="399"/>
        <v>0</v>
      </c>
      <c r="AC196" s="119">
        <f t="shared" ca="1" si="400"/>
        <v>0</v>
      </c>
      <c r="AD196" s="115">
        <f t="shared" ca="1" si="634"/>
        <v>-1.3068493150684932</v>
      </c>
      <c r="AE196" s="115">
        <f t="shared" si="635"/>
        <v>20</v>
      </c>
      <c r="AF196" s="115"/>
      <c r="AG196" s="115"/>
      <c r="AH196" s="115">
        <f t="shared" si="508"/>
        <v>7.3125</v>
      </c>
      <c r="AI196" s="115"/>
      <c r="AJ196" s="115">
        <f t="shared" si="509"/>
        <v>0</v>
      </c>
      <c r="AK196" s="115"/>
      <c r="AL196" s="142"/>
      <c r="AM196" s="153"/>
      <c r="AN196" s="153"/>
      <c r="AO196" s="153"/>
      <c r="AP196" s="153"/>
      <c r="AQ196" s="153"/>
      <c r="AR196" s="153"/>
      <c r="AS196" s="153"/>
      <c r="AT196" s="153"/>
      <c r="AU196" s="153"/>
      <c r="AV196" s="153"/>
      <c r="AW196" s="153"/>
      <c r="AX196" s="153"/>
      <c r="AY196" s="153"/>
      <c r="AZ196" s="153"/>
      <c r="BA196" s="153"/>
      <c r="BB196" s="153"/>
      <c r="BC196" s="153"/>
      <c r="BD196" s="153"/>
      <c r="BE196" s="153"/>
      <c r="BF196" s="153"/>
      <c r="BG196" s="153"/>
      <c r="BS196" s="13">
        <v>2</v>
      </c>
      <c r="BT196" s="123">
        <v>44491</v>
      </c>
      <c r="BU196" s="116" t="s">
        <v>8</v>
      </c>
      <c r="BV196" s="115" t="s">
        <v>482</v>
      </c>
      <c r="BW196" s="116" t="s">
        <v>502</v>
      </c>
      <c r="BX196" s="115">
        <v>18400</v>
      </c>
      <c r="BY196" s="115">
        <v>41.7</v>
      </c>
      <c r="BZ196" s="115">
        <v>47.945</v>
      </c>
      <c r="CA196" s="119">
        <v>-3216.6708800000001</v>
      </c>
      <c r="CB196" s="115">
        <v>1.1497601918465228</v>
      </c>
      <c r="CC196" s="115">
        <v>500</v>
      </c>
      <c r="CD196" s="115">
        <v>50</v>
      </c>
      <c r="CE196" s="119">
        <v>20850</v>
      </c>
    </row>
    <row r="197" spans="1:83" hidden="1">
      <c r="A197" s="13">
        <f t="shared" si="506"/>
        <v>190</v>
      </c>
      <c r="B197" s="123">
        <v>44679</v>
      </c>
      <c r="C197" s="116" t="s">
        <v>8</v>
      </c>
      <c r="D197" s="116">
        <v>1</v>
      </c>
      <c r="E197" s="115" t="s">
        <v>482</v>
      </c>
      <c r="F197" s="116" t="s">
        <v>381</v>
      </c>
      <c r="G197" s="115">
        <v>3200</v>
      </c>
      <c r="H197" s="117">
        <v>44742</v>
      </c>
      <c r="I197" s="115">
        <v>200</v>
      </c>
      <c r="J197" s="115">
        <v>60.05</v>
      </c>
      <c r="K197" s="115">
        <v>251</v>
      </c>
      <c r="L197" s="119">
        <f t="shared" ref="L197" ca="1" si="636">IF(AND(K197&lt;&gt;0,I197&lt;&gt;0),(IF(C197="B",1,-1))*(K197-J197)*I197-AK197*2,0)*$D197*IF(MONTH($B$2)=MONTH($H197),1,0)</f>
        <v>0</v>
      </c>
      <c r="M197" s="119">
        <f t="shared" ref="M197" si="637">IF(AND(K197&lt;&gt;0,I197&lt;&gt;0),(IF(C197="B",1,-1))*(K197-J197)*I197-AK197*2,0)*$D197</f>
        <v>-38190</v>
      </c>
      <c r="N197" s="115">
        <f t="shared" ref="N197" si="638">K197/$J197</f>
        <v>4.1798501248959203</v>
      </c>
      <c r="O197" s="156">
        <f t="shared" ref="O197" si="639">J197*(1+$O$6*IF(C197="B",-1,1))</f>
        <v>75.0625</v>
      </c>
      <c r="P197" s="160">
        <f t="shared" si="507"/>
        <v>12010</v>
      </c>
      <c r="Q197" s="160" t="e">
        <f t="shared" ref="Q197" si="640">(W197-J197)*I197*IF(C197="B",1,-1)*IF(K197=0,1,0)</f>
        <v>#N/A</v>
      </c>
      <c r="R197" s="153" t="e">
        <f t="shared" ca="1" si="403"/>
        <v>#VALUE!</v>
      </c>
      <c r="S197" s="119">
        <f t="shared" ref="S197" si="641">(1-$S$6)*J197</f>
        <v>6.0049999999999981</v>
      </c>
      <c r="T197" s="115" t="e">
        <f>VLOOKUP(TRIM($F197),Reference!B:C,2,0)</f>
        <v>#VALUE!</v>
      </c>
      <c r="U197" s="170">
        <f t="shared" ref="U197" ca="1" si="642">AC197</f>
        <v>0</v>
      </c>
      <c r="V197" s="120" t="str">
        <f t="shared" si="395"/>
        <v>MINDTREE22JUN3200PE</v>
      </c>
      <c r="W197" s="158" t="e">
        <f>VLOOKUP($V197,Reference!BA:BD,4,0)</f>
        <v>#N/A</v>
      </c>
      <c r="X197" s="160">
        <f t="shared" ca="1" si="396"/>
        <v>0</v>
      </c>
      <c r="Y197" s="160">
        <f t="shared" ca="1" si="397"/>
        <v>0</v>
      </c>
      <c r="Z197" s="160">
        <f t="shared" ca="1" si="404"/>
        <v>0</v>
      </c>
      <c r="AA197" s="160">
        <f t="shared" ca="1" si="398"/>
        <v>0</v>
      </c>
      <c r="AB197" s="160">
        <f t="shared" ca="1" si="399"/>
        <v>0</v>
      </c>
      <c r="AC197" s="119">
        <f t="shared" ca="1" si="400"/>
        <v>0</v>
      </c>
      <c r="AD197" s="115">
        <f t="shared" ref="AD197" ca="1" si="643">(H197-TODAY())/365</f>
        <v>-1.210958904109589</v>
      </c>
      <c r="AE197" s="115">
        <f t="shared" ref="AE197" si="644">IF(I197&lt;&gt;0,20,0)</f>
        <v>20</v>
      </c>
      <c r="AF197" s="115"/>
      <c r="AG197" s="115"/>
      <c r="AH197" s="115">
        <f t="shared" si="508"/>
        <v>6.0049999999999999</v>
      </c>
      <c r="AI197" s="115"/>
      <c r="AJ197" s="115">
        <f t="shared" si="509"/>
        <v>0</v>
      </c>
      <c r="AK197" s="115"/>
      <c r="AL197" s="142"/>
      <c r="AM197" s="153"/>
      <c r="AN197" s="153"/>
      <c r="AO197" s="153"/>
      <c r="AP197" s="153"/>
      <c r="AQ197" s="153"/>
      <c r="AR197" s="153"/>
      <c r="AS197" s="153"/>
      <c r="AT197" s="153"/>
      <c r="AU197" s="153"/>
      <c r="AV197" s="153"/>
      <c r="AW197" s="153"/>
      <c r="AX197" s="153"/>
      <c r="AY197" s="153"/>
      <c r="AZ197" s="153"/>
      <c r="BA197" s="153"/>
      <c r="BB197" s="153"/>
      <c r="BC197" s="153"/>
      <c r="BD197" s="153"/>
      <c r="BE197" s="153"/>
      <c r="BF197" s="153"/>
      <c r="BG197" s="153"/>
      <c r="BS197" s="13">
        <v>2</v>
      </c>
      <c r="BT197" s="123">
        <v>44491</v>
      </c>
      <c r="BU197" s="116" t="s">
        <v>8</v>
      </c>
      <c r="BV197" s="115" t="s">
        <v>482</v>
      </c>
      <c r="BW197" s="116" t="s">
        <v>502</v>
      </c>
      <c r="BX197" s="115">
        <v>18400</v>
      </c>
      <c r="BY197" s="115">
        <v>41.7</v>
      </c>
      <c r="BZ197" s="115">
        <v>47.945</v>
      </c>
      <c r="CA197" s="119">
        <v>-3216.6708800000001</v>
      </c>
      <c r="CB197" s="115">
        <v>1.1497601918465228</v>
      </c>
      <c r="CC197" s="115">
        <v>500</v>
      </c>
      <c r="CD197" s="115">
        <v>50</v>
      </c>
      <c r="CE197" s="119">
        <v>20850</v>
      </c>
    </row>
    <row r="198" spans="1:83" hidden="1">
      <c r="A198" s="13">
        <f t="shared" si="506"/>
        <v>191</v>
      </c>
      <c r="B198" s="123">
        <v>44679</v>
      </c>
      <c r="C198" s="116" t="s">
        <v>8</v>
      </c>
      <c r="D198" s="116">
        <v>1</v>
      </c>
      <c r="E198" s="115" t="s">
        <v>481</v>
      </c>
      <c r="F198" s="116" t="s">
        <v>381</v>
      </c>
      <c r="G198" s="115">
        <v>3900</v>
      </c>
      <c r="H198" s="117">
        <v>44707</v>
      </c>
      <c r="I198" s="115">
        <v>200</v>
      </c>
      <c r="J198" s="115">
        <v>77</v>
      </c>
      <c r="K198" s="115">
        <v>5.95</v>
      </c>
      <c r="L198" s="119">
        <f t="shared" ref="L198" ca="1" si="645">IF(AND(K198&lt;&gt;0,I198&lt;&gt;0),(IF(C198="B",1,-1))*(K198-J198)*I198-AK198*2,0)*$D198*IF(MONTH($B$2)=MONTH($H198),1,0)</f>
        <v>0</v>
      </c>
      <c r="M198" s="119">
        <f t="shared" ref="M198" si="646">IF(AND(K198&lt;&gt;0,I198&lt;&gt;0),(IF(C198="B",1,-1))*(K198-J198)*I198-AK198*2,0)*$D198</f>
        <v>14210</v>
      </c>
      <c r="N198" s="115">
        <f t="shared" ref="N198" si="647">K198/$J198</f>
        <v>7.7272727272727271E-2</v>
      </c>
      <c r="O198" s="156">
        <f t="shared" ref="O198" si="648">J198*(1+$O$6*IF(C198="B",-1,1))</f>
        <v>96.25</v>
      </c>
      <c r="P198" s="160">
        <f t="shared" si="507"/>
        <v>15400</v>
      </c>
      <c r="Q198" s="160" t="e">
        <f t="shared" ref="Q198" si="649">(W198-J198)*I198*IF(C198="B",1,-1)*IF(K198=0,1,0)</f>
        <v>#N/A</v>
      </c>
      <c r="R198" s="153" t="e">
        <f t="shared" ca="1" si="403"/>
        <v>#VALUE!</v>
      </c>
      <c r="S198" s="119">
        <f t="shared" ref="S198" si="650">(1-$S$6)*J198</f>
        <v>7.6999999999999984</v>
      </c>
      <c r="T198" s="115" t="e">
        <f>VLOOKUP(TRIM($F198),Reference!B:C,2,0)</f>
        <v>#VALUE!</v>
      </c>
      <c r="U198" s="170">
        <f t="shared" ref="U198" ca="1" si="651">AC198</f>
        <v>0</v>
      </c>
      <c r="V198" s="120" t="str">
        <f t="shared" si="395"/>
        <v>MINDTREE22MAY3900CE</v>
      </c>
      <c r="W198" s="158" t="e">
        <f>VLOOKUP($V198,Reference!BA:BD,4,0)</f>
        <v>#N/A</v>
      </c>
      <c r="X198" s="160">
        <f t="shared" ca="1" si="396"/>
        <v>0</v>
      </c>
      <c r="Y198" s="160">
        <f t="shared" ca="1" si="397"/>
        <v>0</v>
      </c>
      <c r="Z198" s="160">
        <f t="shared" ca="1" si="404"/>
        <v>0</v>
      </c>
      <c r="AA198" s="160">
        <f t="shared" ca="1" si="398"/>
        <v>0</v>
      </c>
      <c r="AB198" s="160">
        <f t="shared" ca="1" si="399"/>
        <v>0</v>
      </c>
      <c r="AC198" s="119">
        <f t="shared" ca="1" si="400"/>
        <v>0</v>
      </c>
      <c r="AD198" s="115">
        <f t="shared" ref="AD198" ca="1" si="652">(H198-TODAY())/365</f>
        <v>-1.3068493150684932</v>
      </c>
      <c r="AE198" s="115">
        <f t="shared" ref="AE198" si="653">IF(I198&lt;&gt;0,20,0)</f>
        <v>20</v>
      </c>
      <c r="AF198" s="115"/>
      <c r="AG198" s="115"/>
      <c r="AH198" s="115">
        <f t="shared" si="508"/>
        <v>7.7</v>
      </c>
      <c r="AI198" s="115"/>
      <c r="AJ198" s="115">
        <f t="shared" si="509"/>
        <v>0</v>
      </c>
      <c r="AK198" s="115"/>
      <c r="AL198" s="142"/>
      <c r="AM198" s="153"/>
      <c r="AN198" s="153"/>
      <c r="AO198" s="153"/>
      <c r="AP198" s="153"/>
      <c r="AQ198" s="153"/>
      <c r="AR198" s="153"/>
      <c r="AS198" s="153"/>
      <c r="AT198" s="153"/>
      <c r="AU198" s="153"/>
      <c r="AV198" s="153"/>
      <c r="AW198" s="153"/>
      <c r="AX198" s="153"/>
      <c r="AY198" s="153"/>
      <c r="AZ198" s="153"/>
      <c r="BA198" s="153"/>
      <c r="BB198" s="153"/>
      <c r="BC198" s="153"/>
      <c r="BD198" s="153"/>
      <c r="BE198" s="153"/>
      <c r="BF198" s="153"/>
      <c r="BG198" s="153"/>
      <c r="BS198" s="13">
        <v>2</v>
      </c>
      <c r="BT198" s="123">
        <v>44491</v>
      </c>
      <c r="BU198" s="116" t="s">
        <v>8</v>
      </c>
      <c r="BV198" s="115" t="s">
        <v>482</v>
      </c>
      <c r="BW198" s="116" t="s">
        <v>502</v>
      </c>
      <c r="BX198" s="115">
        <v>18400</v>
      </c>
      <c r="BY198" s="115">
        <v>41.7</v>
      </c>
      <c r="BZ198" s="115">
        <v>47.945</v>
      </c>
      <c r="CA198" s="119">
        <v>-3216.6708800000001</v>
      </c>
      <c r="CB198" s="115">
        <v>1.1497601918465228</v>
      </c>
      <c r="CC198" s="115">
        <v>500</v>
      </c>
      <c r="CD198" s="115">
        <v>50</v>
      </c>
      <c r="CE198" s="119">
        <v>20850</v>
      </c>
    </row>
    <row r="199" spans="1:83" hidden="1">
      <c r="A199" s="13">
        <f t="shared" si="506"/>
        <v>192</v>
      </c>
      <c r="B199" s="123">
        <v>44679</v>
      </c>
      <c r="C199" s="116" t="s">
        <v>8</v>
      </c>
      <c r="D199" s="116">
        <v>1</v>
      </c>
      <c r="E199" s="115" t="s">
        <v>482</v>
      </c>
      <c r="F199" s="116" t="s">
        <v>506</v>
      </c>
      <c r="G199" s="115">
        <v>34800</v>
      </c>
      <c r="H199" s="117">
        <v>44707</v>
      </c>
      <c r="I199" s="115">
        <v>25</v>
      </c>
      <c r="J199" s="115">
        <v>366</v>
      </c>
      <c r="K199" s="115">
        <v>1499.85</v>
      </c>
      <c r="L199" s="119">
        <f t="shared" ref="L199" ca="1" si="654">IF(AND(K199&lt;&gt;0,I199&lt;&gt;0),(IF(C199="B",1,-1))*(K199-J199)*I199-AK199*2,0)*$D199*IF(MONTH($B$2)=MONTH($H199),1,0)</f>
        <v>0</v>
      </c>
      <c r="M199" s="119">
        <f t="shared" ref="M199" si="655">IF(AND(K199&lt;&gt;0,I199&lt;&gt;0),(IF(C199="B",1,-1))*(K199-J199)*I199-AK199*2,0)*$D199</f>
        <v>-28346.249999999996</v>
      </c>
      <c r="N199" s="115">
        <f t="shared" ref="N199" si="656">K199/$J199</f>
        <v>4.097950819672131</v>
      </c>
      <c r="O199" s="156">
        <f t="shared" ref="O199" si="657">J199*(1+$O$6*IF(C199="B",-1,1))</f>
        <v>457.5</v>
      </c>
      <c r="P199" s="160">
        <f t="shared" si="507"/>
        <v>9150</v>
      </c>
      <c r="Q199" s="160" t="e">
        <f t="shared" ref="Q199" si="658">(W199-J199)*I199*IF(C199="B",1,-1)*IF(K199=0,1,0)</f>
        <v>#N/A</v>
      </c>
      <c r="R199" s="153" t="e">
        <f t="shared" ca="1" si="403"/>
        <v>#VALUE!</v>
      </c>
      <c r="S199" s="119">
        <f t="shared" ref="S199" si="659">(1-$S$6)*J199</f>
        <v>36.599999999999994</v>
      </c>
      <c r="T199" s="115" t="str">
        <f>VLOOKUP(TRIM($F199),Reference!B:C,2,0)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99" s="170">
        <f t="shared" ref="U199" ca="1" si="660">AC199</f>
        <v>0</v>
      </c>
      <c r="V199" s="120" t="str">
        <f t="shared" si="395"/>
        <v>BANKNIFTY22MAY34800PE</v>
      </c>
      <c r="W199" s="158" t="e">
        <f>VLOOKUP($V199,Reference!BA:BD,4,0)</f>
        <v>#N/A</v>
      </c>
      <c r="X199" s="160">
        <f t="shared" ca="1" si="396"/>
        <v>0</v>
      </c>
      <c r="Y199" s="160">
        <f t="shared" ca="1" si="397"/>
        <v>0</v>
      </c>
      <c r="Z199" s="160">
        <f t="shared" ca="1" si="404"/>
        <v>0</v>
      </c>
      <c r="AA199" s="160">
        <f t="shared" ca="1" si="398"/>
        <v>0</v>
      </c>
      <c r="AB199" s="160">
        <f t="shared" ca="1" si="399"/>
        <v>0</v>
      </c>
      <c r="AC199" s="119">
        <f t="shared" ca="1" si="400"/>
        <v>0</v>
      </c>
      <c r="AD199" s="115">
        <f t="shared" ref="AD199" ca="1" si="661">(H199-TODAY())/365</f>
        <v>-1.3068493150684932</v>
      </c>
      <c r="AE199" s="115">
        <f t="shared" ref="AE199" si="662">IF(I199&lt;&gt;0,20,0)</f>
        <v>20</v>
      </c>
      <c r="AF199" s="115"/>
      <c r="AG199" s="115"/>
      <c r="AH199" s="115">
        <f t="shared" si="508"/>
        <v>4.5750000000000002</v>
      </c>
      <c r="AI199" s="115"/>
      <c r="AJ199" s="115">
        <f t="shared" si="509"/>
        <v>0</v>
      </c>
      <c r="AK199" s="115"/>
      <c r="AL199" s="142"/>
      <c r="AM199" s="153"/>
      <c r="AN199" s="153"/>
      <c r="AO199" s="153"/>
      <c r="AP199" s="153"/>
      <c r="AQ199" s="153"/>
      <c r="AR199" s="153"/>
      <c r="AS199" s="153"/>
      <c r="AT199" s="153"/>
      <c r="AU199" s="153"/>
      <c r="AV199" s="153"/>
      <c r="AW199" s="153"/>
      <c r="AX199" s="153"/>
      <c r="AY199" s="153"/>
      <c r="AZ199" s="153"/>
      <c r="BA199" s="153"/>
      <c r="BB199" s="153"/>
      <c r="BC199" s="153"/>
      <c r="BD199" s="153"/>
      <c r="BE199" s="153"/>
      <c r="BF199" s="153"/>
      <c r="BG199" s="153"/>
      <c r="BS199" s="13">
        <v>2</v>
      </c>
      <c r="BT199" s="123">
        <v>44491</v>
      </c>
      <c r="BU199" s="116" t="s">
        <v>8</v>
      </c>
      <c r="BV199" s="115" t="s">
        <v>482</v>
      </c>
      <c r="BW199" s="116" t="s">
        <v>502</v>
      </c>
      <c r="BX199" s="115">
        <v>18400</v>
      </c>
      <c r="BY199" s="115">
        <v>41.7</v>
      </c>
      <c r="BZ199" s="115">
        <v>47.945</v>
      </c>
      <c r="CA199" s="119">
        <v>-3216.6708800000001</v>
      </c>
      <c r="CB199" s="115">
        <v>1.1497601918465228</v>
      </c>
      <c r="CC199" s="115">
        <v>500</v>
      </c>
      <c r="CD199" s="115">
        <v>50</v>
      </c>
      <c r="CE199" s="119">
        <v>20850</v>
      </c>
    </row>
    <row r="200" spans="1:83" hidden="1">
      <c r="A200" s="13">
        <f t="shared" si="506"/>
        <v>193</v>
      </c>
      <c r="B200" s="123">
        <v>44679</v>
      </c>
      <c r="C200" s="116" t="s">
        <v>8</v>
      </c>
      <c r="D200" s="116">
        <v>1</v>
      </c>
      <c r="E200" s="115" t="s">
        <v>481</v>
      </c>
      <c r="F200" s="116" t="s">
        <v>506</v>
      </c>
      <c r="G200" s="115">
        <v>37500</v>
      </c>
      <c r="H200" s="117">
        <v>44707</v>
      </c>
      <c r="I200" s="115">
        <v>25</v>
      </c>
      <c r="J200" s="115">
        <v>400.75</v>
      </c>
      <c r="K200" s="115">
        <v>4.4000000000000004</v>
      </c>
      <c r="L200" s="119">
        <f t="shared" ref="L200" ca="1" si="663">IF(AND(K200&lt;&gt;0,I200&lt;&gt;0),(IF(C200="B",1,-1))*(K200-J200)*I200-AK200*2,0)*$D200*IF(MONTH($B$2)=MONTH($H200),1,0)</f>
        <v>0</v>
      </c>
      <c r="M200" s="119">
        <f t="shared" ref="M200" si="664">IF(AND(K200&lt;&gt;0,I200&lt;&gt;0),(IF(C200="B",1,-1))*(K200-J200)*I200-AK200*2,0)*$D200</f>
        <v>9908.75</v>
      </c>
      <c r="N200" s="115">
        <f t="shared" ref="N200" si="665">K200/$J200</f>
        <v>1.0979413599500937E-2</v>
      </c>
      <c r="O200" s="156">
        <f t="shared" ref="O200" si="666">J200*(1+$O$6*IF(C200="B",-1,1))</f>
        <v>500.9375</v>
      </c>
      <c r="P200" s="160">
        <f t="shared" si="507"/>
        <v>10018.75</v>
      </c>
      <c r="Q200" s="160" t="e">
        <f t="shared" ref="Q200" si="667">(W200-J200)*I200*IF(C200="B",1,-1)*IF(K200=0,1,0)</f>
        <v>#N/A</v>
      </c>
      <c r="R200" s="153" t="e">
        <f t="shared" ca="1" si="403"/>
        <v>#VALUE!</v>
      </c>
      <c r="S200" s="119">
        <f t="shared" ref="S200" si="668">(1-$S$6)*J200</f>
        <v>40.074999999999989</v>
      </c>
      <c r="T200" s="115" t="str">
        <f>VLOOKUP(TRIM($F200),Reference!B:C,2,0)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00" s="170">
        <f t="shared" ref="U200" ca="1" si="669">AC200</f>
        <v>0</v>
      </c>
      <c r="V200" s="120" t="str">
        <f t="shared" ref="V200:V263" si="670">TRIM(F200)&amp;TEXT(H200,"YY")&amp;UPPER(TEXT(H200,"MMM"))&amp;TRIM(G200)&amp;TRIM(E200)</f>
        <v>BANKNIFTY22MAY37500CE</v>
      </c>
      <c r="W200" s="158" t="e">
        <f>VLOOKUP($V200,Reference!BA:BD,4,0)</f>
        <v>#N/A</v>
      </c>
      <c r="X200" s="160">
        <f t="shared" ref="X200:X263" ca="1" si="671">IF(OR($AD200&lt;0,$K200&lt;&gt;0),0,IF($E200="FUT",W200,OptionPrice(LEFT($E200),$T200,$G200,$AD200,RISKFREE_RATE,$U200,NIFTY_DIVYLD))*IF(C200="B",1,-1)*IF(I200=0,0,1)*IF(K200=0,1,0)*I200)</f>
        <v>0</v>
      </c>
      <c r="Y200" s="160">
        <f t="shared" ref="Y200:Y263" ca="1" si="672">IF(OR($AD200&lt;0,$K200&lt;&gt;0),0,IF($E200="FUT",1,OptionDelta(LEFT(E200),T200,G200,AD200,RISKFREE_RATE,U200,NIFTY_DIVYLD)))</f>
        <v>0</v>
      </c>
      <c r="Z200" s="160">
        <f t="shared" ca="1" si="404"/>
        <v>0</v>
      </c>
      <c r="AA200" s="160">
        <f t="shared" ref="AA200:AA263" ca="1" si="673">IF(OR($AD200&lt;0,$K200&lt;&gt;0),0,IF($E200="FUT",0,OptionTheta(LEFT(E200),T200,G200,AD200,RISKFREE_RATE,U200,NIFTY_DIVYLD))*IF(C200="B",1,-1)*IF(I200=0,0,1)*IF(K200=0,1,0)*I200)</f>
        <v>0</v>
      </c>
      <c r="AB200" s="160">
        <f t="shared" ref="AB200:AB263" ca="1" si="674">IF(OR($AD200&lt;0,$K200&lt;&gt;0),0,IF($E200="FUT",0,OptionGamma(T200,G200,AD200,RISKFREE_RATE,U200,NIFTY_DIVYLD))*IF(C200="B",1,-1)*IF(I200=0,0,1)*IF(K200=0,1,0))</f>
        <v>0</v>
      </c>
      <c r="AC200" s="119">
        <f t="shared" ref="AC200:AC263" ca="1" si="675">IF(OR($AD200&lt;0,$K200&lt;&gt;0),0,IF($E200="FUT",0,ImpliedVolatility(LEFT(E200),T200,G200,RISKFREE_RATE,AD200,NIFTY_DIVYLD,W200,$AC$6)))</f>
        <v>0</v>
      </c>
      <c r="AD200" s="115">
        <f t="shared" ref="AD200" ca="1" si="676">(H200-TODAY())/365</f>
        <v>-1.3068493150684932</v>
      </c>
      <c r="AE200" s="115">
        <f t="shared" ref="AE200" si="677">IF(I200&lt;&gt;0,20,0)</f>
        <v>20</v>
      </c>
      <c r="AF200" s="115"/>
      <c r="AG200" s="115"/>
      <c r="AH200" s="115">
        <f t="shared" si="508"/>
        <v>5.0093750000000004</v>
      </c>
      <c r="AI200" s="115"/>
      <c r="AJ200" s="115">
        <f t="shared" si="509"/>
        <v>0</v>
      </c>
      <c r="AK200" s="115"/>
      <c r="AL200" s="142"/>
      <c r="AM200" s="153"/>
      <c r="AN200" s="153"/>
      <c r="AO200" s="153"/>
      <c r="AP200" s="153"/>
      <c r="AQ200" s="153"/>
      <c r="AR200" s="153"/>
      <c r="AS200" s="153"/>
      <c r="AT200" s="153"/>
      <c r="AU200" s="153"/>
      <c r="AV200" s="153"/>
      <c r="AW200" s="153"/>
      <c r="AX200" s="153"/>
      <c r="AY200" s="153"/>
      <c r="AZ200" s="153"/>
      <c r="BA200" s="153"/>
      <c r="BB200" s="153"/>
      <c r="BC200" s="153"/>
      <c r="BD200" s="153"/>
      <c r="BE200" s="153"/>
      <c r="BF200" s="153"/>
      <c r="BG200" s="153"/>
      <c r="BS200" s="13">
        <v>2</v>
      </c>
      <c r="BT200" s="123">
        <v>44491</v>
      </c>
      <c r="BU200" s="116" t="s">
        <v>8</v>
      </c>
      <c r="BV200" s="115" t="s">
        <v>482</v>
      </c>
      <c r="BW200" s="116" t="s">
        <v>502</v>
      </c>
      <c r="BX200" s="115">
        <v>18400</v>
      </c>
      <c r="BY200" s="115">
        <v>41.7</v>
      </c>
      <c r="BZ200" s="115">
        <v>47.945</v>
      </c>
      <c r="CA200" s="119">
        <v>-3216.6708800000001</v>
      </c>
      <c r="CB200" s="115">
        <v>1.1497601918465228</v>
      </c>
      <c r="CC200" s="115">
        <v>500</v>
      </c>
      <c r="CD200" s="115">
        <v>50</v>
      </c>
      <c r="CE200" s="119">
        <v>20850</v>
      </c>
    </row>
    <row r="201" spans="1:83" hidden="1">
      <c r="A201" s="13">
        <f t="shared" si="506"/>
        <v>194</v>
      </c>
      <c r="B201" s="123">
        <v>44679</v>
      </c>
      <c r="C201" s="116" t="s">
        <v>8</v>
      </c>
      <c r="D201" s="116">
        <v>1</v>
      </c>
      <c r="E201" s="115" t="s">
        <v>481</v>
      </c>
      <c r="F201" s="116" t="s">
        <v>506</v>
      </c>
      <c r="G201" s="115">
        <v>37500</v>
      </c>
      <c r="H201" s="117">
        <v>44707</v>
      </c>
      <c r="I201" s="115">
        <v>25</v>
      </c>
      <c r="J201" s="115">
        <v>401.35</v>
      </c>
      <c r="K201" s="115">
        <v>4.4000000000000004</v>
      </c>
      <c r="L201" s="119">
        <f t="shared" ref="L201" ca="1" si="678">IF(AND(K201&lt;&gt;0,I201&lt;&gt;0),(IF(C201="B",1,-1))*(K201-J201)*I201-AK201*2,0)*$D201*IF(MONTH($B$2)=MONTH($H201),1,0)</f>
        <v>0</v>
      </c>
      <c r="M201" s="119">
        <f t="shared" ref="M201" si="679">IF(AND(K201&lt;&gt;0,I201&lt;&gt;0),(IF(C201="B",1,-1))*(K201-J201)*I201-AK201*2,0)*$D201</f>
        <v>9923.7500000000018</v>
      </c>
      <c r="N201" s="115">
        <f t="shared" ref="N201" si="680">K201/$J201</f>
        <v>1.0962999875420456E-2</v>
      </c>
      <c r="O201" s="156">
        <f t="shared" ref="O201" si="681">J201*(1+$O$6*IF(C201="B",-1,1))</f>
        <v>501.6875</v>
      </c>
      <c r="P201" s="160">
        <f t="shared" si="507"/>
        <v>10033.75</v>
      </c>
      <c r="Q201" s="160" t="e">
        <f t="shared" ref="Q201" si="682">(W201-J201)*I201*IF(C201="B",1,-1)*IF(K201=0,1,0)</f>
        <v>#N/A</v>
      </c>
      <c r="R201" s="153" t="e">
        <f t="shared" ref="R201:R264" ca="1" si="683">Z201*T201</f>
        <v>#VALUE!</v>
      </c>
      <c r="S201" s="119">
        <f t="shared" ref="S201" si="684">(1-$S$6)*J201</f>
        <v>40.134999999999991</v>
      </c>
      <c r="T201" s="115" t="str">
        <f>VLOOKUP(TRIM($F201),Reference!B:C,2,0)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01" s="170">
        <f t="shared" ref="U201" ca="1" si="685">AC201</f>
        <v>0</v>
      </c>
      <c r="V201" s="120" t="str">
        <f t="shared" si="670"/>
        <v>BANKNIFTY22MAY37500CE</v>
      </c>
      <c r="W201" s="158" t="e">
        <f>VLOOKUP($V201,Reference!BA:BD,4,0)</f>
        <v>#N/A</v>
      </c>
      <c r="X201" s="160">
        <f t="shared" ca="1" si="671"/>
        <v>0</v>
      </c>
      <c r="Y201" s="160">
        <f t="shared" ca="1" si="672"/>
        <v>0</v>
      </c>
      <c r="Z201" s="160">
        <f t="shared" ref="Z201:Z264" ca="1" si="686">Y201*IF(C201="B",1,-1)*IF(I201=0,0,1)*IF(K201=0,1,0)*I201</f>
        <v>0</v>
      </c>
      <c r="AA201" s="160">
        <f t="shared" ca="1" si="673"/>
        <v>0</v>
      </c>
      <c r="AB201" s="160">
        <f t="shared" ca="1" si="674"/>
        <v>0</v>
      </c>
      <c r="AC201" s="119">
        <f t="shared" ca="1" si="675"/>
        <v>0</v>
      </c>
      <c r="AD201" s="115">
        <f t="shared" ref="AD201" ca="1" si="687">(H201-TODAY())/365</f>
        <v>-1.3068493150684932</v>
      </c>
      <c r="AE201" s="115">
        <f t="shared" ref="AE201" si="688">IF(I201&lt;&gt;0,20,0)</f>
        <v>20</v>
      </c>
      <c r="AF201" s="115"/>
      <c r="AG201" s="115"/>
      <c r="AH201" s="115">
        <f t="shared" si="508"/>
        <v>5.0168749999999998</v>
      </c>
      <c r="AI201" s="115"/>
      <c r="AJ201" s="115">
        <f t="shared" si="509"/>
        <v>0</v>
      </c>
      <c r="AK201" s="115"/>
      <c r="AL201" s="142"/>
      <c r="AM201" s="153"/>
      <c r="AN201" s="153"/>
      <c r="AO201" s="153"/>
      <c r="AP201" s="153"/>
      <c r="AQ201" s="153"/>
      <c r="AR201" s="153"/>
      <c r="AS201" s="153"/>
      <c r="AT201" s="153"/>
      <c r="AU201" s="153"/>
      <c r="AV201" s="153"/>
      <c r="AW201" s="153"/>
      <c r="AX201" s="153"/>
      <c r="AY201" s="153"/>
      <c r="AZ201" s="153"/>
      <c r="BA201" s="153"/>
      <c r="BB201" s="153"/>
      <c r="BC201" s="153"/>
      <c r="BD201" s="153"/>
      <c r="BE201" s="153"/>
      <c r="BF201" s="153"/>
      <c r="BG201" s="153"/>
      <c r="BS201" s="13">
        <v>2</v>
      </c>
      <c r="BT201" s="123">
        <v>44491</v>
      </c>
      <c r="BU201" s="116" t="s">
        <v>8</v>
      </c>
      <c r="BV201" s="115" t="s">
        <v>482</v>
      </c>
      <c r="BW201" s="116" t="s">
        <v>502</v>
      </c>
      <c r="BX201" s="115">
        <v>18400</v>
      </c>
      <c r="BY201" s="115">
        <v>41.7</v>
      </c>
      <c r="BZ201" s="115">
        <v>47.945</v>
      </c>
      <c r="CA201" s="119">
        <v>-3216.6708800000001</v>
      </c>
      <c r="CB201" s="115">
        <v>1.1497601918465228</v>
      </c>
      <c r="CC201" s="115">
        <v>500</v>
      </c>
      <c r="CD201" s="115">
        <v>50</v>
      </c>
      <c r="CE201" s="119">
        <v>20850</v>
      </c>
    </row>
    <row r="202" spans="1:83" hidden="1">
      <c r="A202" s="13">
        <f t="shared" si="506"/>
        <v>195</v>
      </c>
      <c r="B202" s="123">
        <v>44679</v>
      </c>
      <c r="C202" s="116" t="s">
        <v>8</v>
      </c>
      <c r="D202" s="116">
        <v>1</v>
      </c>
      <c r="E202" s="115" t="s">
        <v>481</v>
      </c>
      <c r="F202" s="116" t="s">
        <v>130</v>
      </c>
      <c r="G202" s="115">
        <v>270</v>
      </c>
      <c r="H202" s="117">
        <v>44707</v>
      </c>
      <c r="I202" s="115">
        <v>6750</v>
      </c>
      <c r="J202" s="115">
        <v>5.4</v>
      </c>
      <c r="K202" s="115">
        <v>0.85</v>
      </c>
      <c r="L202" s="119">
        <f t="shared" ref="L202" ca="1" si="689">IF(AND(K202&lt;&gt;0,I202&lt;&gt;0),(IF(C202="B",1,-1))*(K202-J202)*I202-AK202*2,0)*$D202*IF(MONTH($B$2)=MONTH($H202),1,0)</f>
        <v>0</v>
      </c>
      <c r="M202" s="119">
        <f t="shared" ref="M202" si="690">IF(AND(K202&lt;&gt;0,I202&lt;&gt;0),(IF(C202="B",1,-1))*(K202-J202)*I202-AK202*2,0)*$D202</f>
        <v>30712.500000000004</v>
      </c>
      <c r="N202" s="115">
        <f t="shared" ref="N202" si="691">K202/$J202</f>
        <v>0.15740740740740738</v>
      </c>
      <c r="O202" s="156">
        <f t="shared" ref="O202" si="692">J202*(1+$O$6*IF(C202="B",-1,1))</f>
        <v>6.75</v>
      </c>
      <c r="P202" s="160">
        <f t="shared" si="507"/>
        <v>36450</v>
      </c>
      <c r="Q202" s="160" t="e">
        <f t="shared" ref="Q202" si="693">(W202-J202)*I202*IF(C202="B",1,-1)*IF(K202=0,1,0)</f>
        <v>#N/A</v>
      </c>
      <c r="R202" s="153" t="e">
        <f t="shared" ca="1" si="683"/>
        <v>#VALUE!</v>
      </c>
      <c r="S202" s="119">
        <f t="shared" ref="S202" si="694">(1-$S$6)*J202</f>
        <v>0.53999999999999992</v>
      </c>
      <c r="T202" s="115" t="e">
        <f>VLOOKUP(TRIM($F202),Reference!B:C,2,0)</f>
        <v>#VALUE!</v>
      </c>
      <c r="U202" s="170">
        <f t="shared" ref="U202" ca="1" si="695">AC202</f>
        <v>0</v>
      </c>
      <c r="V202" s="120" t="str">
        <f t="shared" si="670"/>
        <v>TATAPOWER22MAY270CE</v>
      </c>
      <c r="W202" s="158" t="e">
        <f>VLOOKUP($V202,Reference!BA:BD,4,0)</f>
        <v>#N/A</v>
      </c>
      <c r="X202" s="160">
        <f t="shared" ca="1" si="671"/>
        <v>0</v>
      </c>
      <c r="Y202" s="160">
        <f t="shared" ca="1" si="672"/>
        <v>0</v>
      </c>
      <c r="Z202" s="160">
        <f t="shared" ca="1" si="686"/>
        <v>0</v>
      </c>
      <c r="AA202" s="160">
        <f t="shared" ca="1" si="673"/>
        <v>0</v>
      </c>
      <c r="AB202" s="160">
        <f t="shared" ca="1" si="674"/>
        <v>0</v>
      </c>
      <c r="AC202" s="119">
        <f t="shared" ca="1" si="675"/>
        <v>0</v>
      </c>
      <c r="AD202" s="115">
        <f t="shared" ref="AD202" ca="1" si="696">(H202-TODAY())/365</f>
        <v>-1.3068493150684932</v>
      </c>
      <c r="AE202" s="115">
        <f t="shared" ref="AE202" si="697">IF(I202&lt;&gt;0,20,0)</f>
        <v>20</v>
      </c>
      <c r="AF202" s="115"/>
      <c r="AG202" s="115"/>
      <c r="AH202" s="115">
        <f t="shared" si="508"/>
        <v>18.225000000000001</v>
      </c>
      <c r="AI202" s="115"/>
      <c r="AJ202" s="115">
        <f t="shared" si="509"/>
        <v>0</v>
      </c>
      <c r="AK202" s="115"/>
      <c r="AL202" s="142"/>
      <c r="AM202" s="153"/>
      <c r="AN202" s="153"/>
      <c r="AO202" s="153"/>
      <c r="AP202" s="153"/>
      <c r="AQ202" s="153"/>
      <c r="AR202" s="153"/>
      <c r="AS202" s="153"/>
      <c r="AT202" s="153"/>
      <c r="AU202" s="153"/>
      <c r="AV202" s="153"/>
      <c r="AW202" s="153"/>
      <c r="AX202" s="153"/>
      <c r="AY202" s="153"/>
      <c r="AZ202" s="153"/>
      <c r="BA202" s="153"/>
      <c r="BB202" s="153"/>
      <c r="BC202" s="153"/>
      <c r="BD202" s="153"/>
      <c r="BE202" s="153"/>
      <c r="BF202" s="153"/>
      <c r="BG202" s="153"/>
      <c r="BS202" s="13">
        <v>2</v>
      </c>
      <c r="BT202" s="123">
        <v>44491</v>
      </c>
      <c r="BU202" s="116" t="s">
        <v>8</v>
      </c>
      <c r="BV202" s="115" t="s">
        <v>482</v>
      </c>
      <c r="BW202" s="116" t="s">
        <v>502</v>
      </c>
      <c r="BX202" s="115">
        <v>18400</v>
      </c>
      <c r="BY202" s="115">
        <v>41.7</v>
      </c>
      <c r="BZ202" s="115">
        <v>47.945</v>
      </c>
      <c r="CA202" s="119">
        <v>-3216.6708800000001</v>
      </c>
      <c r="CB202" s="115">
        <v>1.1497601918465228</v>
      </c>
      <c r="CC202" s="115">
        <v>500</v>
      </c>
      <c r="CD202" s="115">
        <v>50</v>
      </c>
      <c r="CE202" s="119">
        <v>20850</v>
      </c>
    </row>
    <row r="203" spans="1:83" hidden="1">
      <c r="A203" s="13">
        <f t="shared" si="506"/>
        <v>196</v>
      </c>
      <c r="B203" s="123">
        <v>44680</v>
      </c>
      <c r="C203" s="116" t="s">
        <v>8</v>
      </c>
      <c r="D203" s="116">
        <v>1</v>
      </c>
      <c r="E203" s="115" t="s">
        <v>481</v>
      </c>
      <c r="F203" s="116" t="s">
        <v>502</v>
      </c>
      <c r="G203" s="115">
        <v>18200</v>
      </c>
      <c r="H203" s="117">
        <v>44742</v>
      </c>
      <c r="I203" s="115">
        <v>50</v>
      </c>
      <c r="J203" s="115">
        <v>153.15</v>
      </c>
      <c r="K203" s="115">
        <v>0.05</v>
      </c>
      <c r="L203" s="119">
        <f t="shared" ref="L203:L208" ca="1" si="698">IF(AND(K203&lt;&gt;0,I203&lt;&gt;0),(IF(C203="B",1,-1))*(K203-J203)*I203-AK203*2,0)*$D203*IF(MONTH($B$2)=MONTH($H203),1,0)</f>
        <v>0</v>
      </c>
      <c r="M203" s="119">
        <f t="shared" ref="M203:M208" si="699">IF(AND(K203&lt;&gt;0,I203&lt;&gt;0),(IF(C203="B",1,-1))*(K203-J203)*I203-AK203*2,0)*$D203</f>
        <v>7655</v>
      </c>
      <c r="N203" s="115">
        <f t="shared" ref="N203:N208" si="700">K203/$J203</f>
        <v>3.2647730982696702E-4</v>
      </c>
      <c r="O203" s="156">
        <f t="shared" ref="O203:O208" si="701">J203*(1+$O$6*IF(C203="B",-1,1))</f>
        <v>191.4375</v>
      </c>
      <c r="P203" s="160">
        <f t="shared" si="507"/>
        <v>7657.5</v>
      </c>
      <c r="Q203" s="160" t="e">
        <f t="shared" ref="Q203:Q208" si="702">(W203-J203)*I203*IF(C203="B",1,-1)*IF(K203=0,1,0)</f>
        <v>#N/A</v>
      </c>
      <c r="R203" s="153" t="e">
        <f t="shared" ca="1" si="683"/>
        <v>#VALUE!</v>
      </c>
      <c r="S203" s="119">
        <f t="shared" ref="S203:S208" si="703">(1-$S$6)*J203</f>
        <v>15.314999999999998</v>
      </c>
      <c r="T203" s="115" t="str">
        <f>VLOOKUP(TRIM($F203),Reference!B:C,2,0)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03" s="170">
        <f t="shared" ref="U203:U208" ca="1" si="704">AC203</f>
        <v>0</v>
      </c>
      <c r="V203" s="120" t="str">
        <f t="shared" si="670"/>
        <v>NIFTY22JUN18200CE</v>
      </c>
      <c r="W203" s="158" t="e">
        <f>VLOOKUP($V203,Reference!BA:BD,4,0)</f>
        <v>#N/A</v>
      </c>
      <c r="X203" s="160">
        <f t="shared" ca="1" si="671"/>
        <v>0</v>
      </c>
      <c r="Y203" s="160">
        <f t="shared" ca="1" si="672"/>
        <v>0</v>
      </c>
      <c r="Z203" s="160">
        <f t="shared" ca="1" si="686"/>
        <v>0</v>
      </c>
      <c r="AA203" s="160">
        <f t="shared" ca="1" si="673"/>
        <v>0</v>
      </c>
      <c r="AB203" s="160">
        <f t="shared" ca="1" si="674"/>
        <v>0</v>
      </c>
      <c r="AC203" s="119">
        <f t="shared" ca="1" si="675"/>
        <v>0</v>
      </c>
      <c r="AD203" s="115">
        <f t="shared" ref="AD203:AD208" ca="1" si="705">(H203-TODAY())/365</f>
        <v>-1.210958904109589</v>
      </c>
      <c r="AE203" s="115">
        <f t="shared" ref="AE203:AE208" si="706">IF(I203&lt;&gt;0,20,0)</f>
        <v>20</v>
      </c>
      <c r="AF203" s="115"/>
      <c r="AG203" s="115"/>
      <c r="AH203" s="115">
        <f t="shared" si="508"/>
        <v>3.8287499999999999</v>
      </c>
      <c r="AI203" s="115"/>
      <c r="AJ203" s="115">
        <f t="shared" si="509"/>
        <v>0</v>
      </c>
      <c r="AK203" s="115"/>
      <c r="AL203" s="142"/>
      <c r="AM203" s="153"/>
      <c r="AN203" s="153"/>
      <c r="AO203" s="153"/>
      <c r="AP203" s="153"/>
      <c r="AQ203" s="153"/>
      <c r="AR203" s="153"/>
      <c r="AS203" s="153"/>
      <c r="AT203" s="153"/>
      <c r="AU203" s="153"/>
      <c r="AV203" s="153"/>
      <c r="AW203" s="153"/>
      <c r="AX203" s="153"/>
      <c r="AY203" s="153"/>
      <c r="AZ203" s="153"/>
      <c r="BA203" s="153"/>
      <c r="BB203" s="153"/>
      <c r="BC203" s="153"/>
      <c r="BD203" s="153"/>
      <c r="BE203" s="153"/>
      <c r="BF203" s="153"/>
      <c r="BG203" s="153"/>
      <c r="BS203" s="13">
        <v>2</v>
      </c>
      <c r="BT203" s="123">
        <v>44491</v>
      </c>
      <c r="BU203" s="116" t="s">
        <v>8</v>
      </c>
      <c r="BV203" s="115" t="s">
        <v>482</v>
      </c>
      <c r="BW203" s="116" t="s">
        <v>502</v>
      </c>
      <c r="BX203" s="115">
        <v>18400</v>
      </c>
      <c r="BY203" s="115">
        <v>41.7</v>
      </c>
      <c r="BZ203" s="115">
        <v>47.945</v>
      </c>
      <c r="CA203" s="119">
        <v>-3216.6708800000001</v>
      </c>
      <c r="CB203" s="115">
        <v>1.1497601918465228</v>
      </c>
      <c r="CC203" s="115">
        <v>500</v>
      </c>
      <c r="CD203" s="115">
        <v>50</v>
      </c>
      <c r="CE203" s="119">
        <v>20850</v>
      </c>
    </row>
    <row r="204" spans="1:83" hidden="1">
      <c r="A204" s="13">
        <f t="shared" si="506"/>
        <v>197</v>
      </c>
      <c r="B204" s="123">
        <v>44679</v>
      </c>
      <c r="C204" s="116" t="s">
        <v>6</v>
      </c>
      <c r="D204" s="116">
        <v>1</v>
      </c>
      <c r="E204" s="115" t="s">
        <v>632</v>
      </c>
      <c r="F204" s="116" t="s">
        <v>506</v>
      </c>
      <c r="G204" s="115"/>
      <c r="H204" s="117">
        <v>44742</v>
      </c>
      <c r="I204" s="115">
        <v>25</v>
      </c>
      <c r="J204" s="115">
        <v>36045</v>
      </c>
      <c r="K204" s="115">
        <v>36097</v>
      </c>
      <c r="L204" s="119">
        <f t="shared" ca="1" si="698"/>
        <v>0</v>
      </c>
      <c r="M204" s="119">
        <f t="shared" si="699"/>
        <v>1300</v>
      </c>
      <c r="N204" s="115">
        <f t="shared" si="700"/>
        <v>1.0014426411430157</v>
      </c>
      <c r="O204" s="156">
        <f t="shared" si="701"/>
        <v>27033.75</v>
      </c>
      <c r="P204" s="160">
        <f t="shared" si="507"/>
        <v>901125</v>
      </c>
      <c r="Q204" s="160" t="e">
        <f t="shared" si="702"/>
        <v>#N/A</v>
      </c>
      <c r="R204" s="153" t="e">
        <f t="shared" ca="1" si="683"/>
        <v>#VALUE!</v>
      </c>
      <c r="S204" s="119">
        <f t="shared" si="703"/>
        <v>3604.4999999999991</v>
      </c>
      <c r="T204" s="115" t="str">
        <f>VLOOKUP(TRIM($F204),Reference!B:C,2,0)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04" s="170">
        <f t="shared" ca="1" si="704"/>
        <v>0</v>
      </c>
      <c r="V204" s="120" t="str">
        <f t="shared" si="670"/>
        <v>BANKNIFTY22JUNFUT</v>
      </c>
      <c r="W204" s="158" t="e">
        <f>VLOOKUP($V204,Reference!BA:BD,4,0)</f>
        <v>#N/A</v>
      </c>
      <c r="X204" s="160">
        <f t="shared" ca="1" si="671"/>
        <v>0</v>
      </c>
      <c r="Y204" s="160">
        <f t="shared" ca="1" si="672"/>
        <v>0</v>
      </c>
      <c r="Z204" s="160">
        <f t="shared" ca="1" si="686"/>
        <v>0</v>
      </c>
      <c r="AA204" s="160">
        <f t="shared" ca="1" si="673"/>
        <v>0</v>
      </c>
      <c r="AB204" s="160">
        <f t="shared" ca="1" si="674"/>
        <v>0</v>
      </c>
      <c r="AC204" s="119">
        <f t="shared" ca="1" si="675"/>
        <v>0</v>
      </c>
      <c r="AD204" s="115">
        <f t="shared" ca="1" si="705"/>
        <v>-1.210958904109589</v>
      </c>
      <c r="AE204" s="115">
        <f t="shared" si="706"/>
        <v>20</v>
      </c>
      <c r="AF204" s="115"/>
      <c r="AG204" s="115"/>
      <c r="AH204" s="115">
        <f t="shared" si="508"/>
        <v>0</v>
      </c>
      <c r="AI204" s="115"/>
      <c r="AJ204" s="115">
        <f t="shared" si="509"/>
        <v>27.033750000000001</v>
      </c>
      <c r="AK204" s="115"/>
      <c r="AL204" s="142"/>
      <c r="AM204" s="153"/>
      <c r="AN204" s="153"/>
      <c r="AO204" s="153"/>
      <c r="AP204" s="153"/>
      <c r="AQ204" s="153"/>
      <c r="AR204" s="153"/>
      <c r="AS204" s="153"/>
      <c r="AT204" s="153"/>
      <c r="AU204" s="153"/>
      <c r="AV204" s="153"/>
      <c r="AW204" s="153"/>
      <c r="AX204" s="153"/>
      <c r="AY204" s="153"/>
      <c r="AZ204" s="153"/>
      <c r="BA204" s="153"/>
      <c r="BB204" s="153"/>
      <c r="BC204" s="153"/>
      <c r="BD204" s="153"/>
      <c r="BE204" s="153"/>
      <c r="BF204" s="153"/>
      <c r="BG204" s="153"/>
      <c r="BS204" s="13">
        <v>2</v>
      </c>
      <c r="BT204" s="123">
        <v>44491</v>
      </c>
      <c r="BU204" s="116" t="s">
        <v>8</v>
      </c>
      <c r="BV204" s="115" t="s">
        <v>482</v>
      </c>
      <c r="BW204" s="116" t="s">
        <v>502</v>
      </c>
      <c r="BX204" s="115">
        <v>18400</v>
      </c>
      <c r="BY204" s="115">
        <v>41.7</v>
      </c>
      <c r="BZ204" s="115">
        <v>47.945</v>
      </c>
      <c r="CA204" s="119">
        <v>-3216.6708800000001</v>
      </c>
      <c r="CB204" s="115">
        <v>1.1497601918465228</v>
      </c>
      <c r="CC204" s="115">
        <v>500</v>
      </c>
      <c r="CD204" s="115">
        <v>50</v>
      </c>
      <c r="CE204" s="119">
        <v>20850</v>
      </c>
    </row>
    <row r="205" spans="1:83" hidden="1">
      <c r="A205" s="13">
        <f t="shared" si="506"/>
        <v>198</v>
      </c>
      <c r="B205" s="123">
        <v>44678</v>
      </c>
      <c r="C205" s="116" t="s">
        <v>6</v>
      </c>
      <c r="D205" s="116">
        <v>1</v>
      </c>
      <c r="E205" s="115" t="s">
        <v>632</v>
      </c>
      <c r="F205" s="116" t="s">
        <v>130</v>
      </c>
      <c r="G205" s="115"/>
      <c r="H205" s="117">
        <v>44707</v>
      </c>
      <c r="I205" s="115">
        <v>3375</v>
      </c>
      <c r="J205" s="115">
        <v>248.85</v>
      </c>
      <c r="K205" s="115">
        <v>254.5</v>
      </c>
      <c r="L205" s="119">
        <f t="shared" ca="1" si="698"/>
        <v>0</v>
      </c>
      <c r="M205" s="119">
        <f t="shared" si="699"/>
        <v>19068.750000000018</v>
      </c>
      <c r="N205" s="115">
        <f t="shared" si="700"/>
        <v>1.0227044404259595</v>
      </c>
      <c r="O205" s="156">
        <f t="shared" si="701"/>
        <v>186.63749999999999</v>
      </c>
      <c r="P205" s="160">
        <f t="shared" si="507"/>
        <v>839868.75</v>
      </c>
      <c r="Q205" s="160" t="e">
        <f t="shared" si="702"/>
        <v>#N/A</v>
      </c>
      <c r="R205" s="153" t="e">
        <f t="shared" ca="1" si="683"/>
        <v>#VALUE!</v>
      </c>
      <c r="S205" s="119">
        <f t="shared" si="703"/>
        <v>24.884999999999994</v>
      </c>
      <c r="T205" s="115" t="e">
        <f>VLOOKUP(TRIM($F205),Reference!B:C,2,0)</f>
        <v>#VALUE!</v>
      </c>
      <c r="U205" s="170">
        <f t="shared" ca="1" si="704"/>
        <v>0</v>
      </c>
      <c r="V205" s="120" t="str">
        <f t="shared" si="670"/>
        <v>TATAPOWER22MAYFUT</v>
      </c>
      <c r="W205" s="158" t="e">
        <f>VLOOKUP($V205,Reference!BA:BD,4,0)</f>
        <v>#N/A</v>
      </c>
      <c r="X205" s="160">
        <f t="shared" ca="1" si="671"/>
        <v>0</v>
      </c>
      <c r="Y205" s="160">
        <f t="shared" ca="1" si="672"/>
        <v>0</v>
      </c>
      <c r="Z205" s="160">
        <f t="shared" ca="1" si="686"/>
        <v>0</v>
      </c>
      <c r="AA205" s="160">
        <f t="shared" ca="1" si="673"/>
        <v>0</v>
      </c>
      <c r="AB205" s="160">
        <f t="shared" ca="1" si="674"/>
        <v>0</v>
      </c>
      <c r="AC205" s="119">
        <f t="shared" ca="1" si="675"/>
        <v>0</v>
      </c>
      <c r="AD205" s="115">
        <f t="shared" ca="1" si="705"/>
        <v>-1.3068493150684932</v>
      </c>
      <c r="AE205" s="115">
        <f t="shared" si="706"/>
        <v>20</v>
      </c>
      <c r="AF205" s="115"/>
      <c r="AG205" s="115"/>
      <c r="AH205" s="115">
        <f t="shared" si="508"/>
        <v>0</v>
      </c>
      <c r="AI205" s="115"/>
      <c r="AJ205" s="115">
        <f t="shared" si="509"/>
        <v>25.1960625</v>
      </c>
      <c r="AK205" s="115"/>
      <c r="AL205" s="142"/>
      <c r="AM205" s="153"/>
      <c r="AN205" s="153"/>
      <c r="AO205" s="153"/>
      <c r="AP205" s="153"/>
      <c r="AQ205" s="153"/>
      <c r="AR205" s="153"/>
      <c r="AS205" s="153"/>
      <c r="AT205" s="153"/>
      <c r="AU205" s="153"/>
      <c r="AV205" s="153"/>
      <c r="AW205" s="153"/>
      <c r="AX205" s="153"/>
      <c r="AY205" s="153"/>
      <c r="AZ205" s="153"/>
      <c r="BA205" s="153"/>
      <c r="BB205" s="153"/>
      <c r="BC205" s="153"/>
      <c r="BD205" s="153"/>
      <c r="BE205" s="153"/>
      <c r="BF205" s="153"/>
      <c r="BG205" s="153"/>
      <c r="BS205" s="13">
        <v>2</v>
      </c>
      <c r="BT205" s="123">
        <v>44491</v>
      </c>
      <c r="BU205" s="116" t="s">
        <v>8</v>
      </c>
      <c r="BV205" s="115" t="s">
        <v>482</v>
      </c>
      <c r="BW205" s="116" t="s">
        <v>502</v>
      </c>
      <c r="BX205" s="115">
        <v>18400</v>
      </c>
      <c r="BY205" s="115">
        <v>41.7</v>
      </c>
      <c r="BZ205" s="115">
        <v>47.945</v>
      </c>
      <c r="CA205" s="119">
        <v>-3216.6708800000001</v>
      </c>
      <c r="CB205" s="115">
        <v>1.1497601918465228</v>
      </c>
      <c r="CC205" s="115">
        <v>500</v>
      </c>
      <c r="CD205" s="115">
        <v>50</v>
      </c>
      <c r="CE205" s="119">
        <v>20850</v>
      </c>
    </row>
    <row r="206" spans="1:83" hidden="1">
      <c r="A206" s="13">
        <f t="shared" si="506"/>
        <v>199</v>
      </c>
      <c r="B206" s="123">
        <v>44685</v>
      </c>
      <c r="C206" s="116" t="s">
        <v>8</v>
      </c>
      <c r="D206" s="116">
        <v>1</v>
      </c>
      <c r="E206" s="115" t="s">
        <v>482</v>
      </c>
      <c r="F206" s="116" t="s">
        <v>130</v>
      </c>
      <c r="G206" s="115">
        <v>230</v>
      </c>
      <c r="H206" s="117">
        <v>44707</v>
      </c>
      <c r="I206" s="115">
        <v>6750</v>
      </c>
      <c r="J206" s="115">
        <v>3.4</v>
      </c>
      <c r="K206" s="115">
        <v>0</v>
      </c>
      <c r="L206" s="119">
        <f t="shared" ca="1" si="698"/>
        <v>0</v>
      </c>
      <c r="M206" s="119">
        <f t="shared" si="699"/>
        <v>0</v>
      </c>
      <c r="N206" s="115">
        <f t="shared" si="700"/>
        <v>0</v>
      </c>
      <c r="O206" s="156">
        <f t="shared" si="701"/>
        <v>4.25</v>
      </c>
      <c r="P206" s="160">
        <f t="shared" si="507"/>
        <v>22950</v>
      </c>
      <c r="Q206" s="160" t="e">
        <f t="shared" si="702"/>
        <v>#N/A</v>
      </c>
      <c r="R206" s="153" t="e">
        <f t="shared" ca="1" si="683"/>
        <v>#VALUE!</v>
      </c>
      <c r="S206" s="119">
        <f t="shared" si="703"/>
        <v>0.33999999999999991</v>
      </c>
      <c r="T206" s="115" t="e">
        <f>VLOOKUP(TRIM($F206),Reference!B:C,2,0)</f>
        <v>#VALUE!</v>
      </c>
      <c r="U206" s="170">
        <f t="shared" ca="1" si="704"/>
        <v>0</v>
      </c>
      <c r="V206" s="120" t="str">
        <f t="shared" si="670"/>
        <v>TATAPOWER22MAY230PE</v>
      </c>
      <c r="W206" s="158" t="e">
        <f>VLOOKUP($V206,Reference!BA:BD,4,0)</f>
        <v>#N/A</v>
      </c>
      <c r="X206" s="160">
        <f t="shared" ca="1" si="671"/>
        <v>0</v>
      </c>
      <c r="Y206" s="160">
        <f t="shared" ca="1" si="672"/>
        <v>0</v>
      </c>
      <c r="Z206" s="160">
        <f t="shared" ca="1" si="686"/>
        <v>0</v>
      </c>
      <c r="AA206" s="160">
        <f t="shared" ca="1" si="673"/>
        <v>0</v>
      </c>
      <c r="AB206" s="160">
        <f t="shared" ca="1" si="674"/>
        <v>0</v>
      </c>
      <c r="AC206" s="119">
        <f t="shared" ca="1" si="675"/>
        <v>0</v>
      </c>
      <c r="AD206" s="115">
        <f t="shared" ca="1" si="705"/>
        <v>-1.3068493150684932</v>
      </c>
      <c r="AE206" s="115">
        <f t="shared" si="706"/>
        <v>20</v>
      </c>
      <c r="AF206" s="115"/>
      <c r="AG206" s="115"/>
      <c r="AH206" s="115">
        <f t="shared" si="508"/>
        <v>11.475</v>
      </c>
      <c r="AI206" s="115"/>
      <c r="AJ206" s="115">
        <f t="shared" si="509"/>
        <v>0</v>
      </c>
      <c r="AK206" s="115"/>
      <c r="AL206" s="142"/>
      <c r="AM206" s="153"/>
      <c r="AN206" s="153"/>
      <c r="AO206" s="153"/>
      <c r="AP206" s="153"/>
      <c r="AQ206" s="153"/>
      <c r="AR206" s="153"/>
      <c r="AS206" s="153"/>
      <c r="AT206" s="153"/>
      <c r="AU206" s="153"/>
      <c r="AV206" s="153"/>
      <c r="AW206" s="153"/>
      <c r="AX206" s="153"/>
      <c r="AY206" s="153"/>
      <c r="AZ206" s="153"/>
      <c r="BA206" s="153"/>
      <c r="BB206" s="153"/>
      <c r="BC206" s="153"/>
      <c r="BD206" s="153"/>
      <c r="BE206" s="153"/>
      <c r="BF206" s="153"/>
      <c r="BG206" s="153"/>
      <c r="BS206" s="13">
        <v>2</v>
      </c>
      <c r="BT206" s="123">
        <v>44491</v>
      </c>
      <c r="BU206" s="116" t="s">
        <v>8</v>
      </c>
      <c r="BV206" s="115" t="s">
        <v>482</v>
      </c>
      <c r="BW206" s="116" t="s">
        <v>502</v>
      </c>
      <c r="BX206" s="115">
        <v>18400</v>
      </c>
      <c r="BY206" s="115">
        <v>41.7</v>
      </c>
      <c r="BZ206" s="115">
        <v>47.945</v>
      </c>
      <c r="CA206" s="119">
        <v>-3216.6708800000001</v>
      </c>
      <c r="CB206" s="115">
        <v>1.1497601918465228</v>
      </c>
      <c r="CC206" s="115">
        <v>500</v>
      </c>
      <c r="CD206" s="115">
        <v>50</v>
      </c>
      <c r="CE206" s="119">
        <v>20850</v>
      </c>
    </row>
    <row r="207" spans="1:83" hidden="1">
      <c r="A207" s="13">
        <f t="shared" si="506"/>
        <v>200</v>
      </c>
      <c r="B207" s="123">
        <v>44685</v>
      </c>
      <c r="C207" s="116" t="s">
        <v>6</v>
      </c>
      <c r="D207" s="116">
        <v>1</v>
      </c>
      <c r="E207" s="115" t="s">
        <v>632</v>
      </c>
      <c r="F207" s="116" t="s">
        <v>502</v>
      </c>
      <c r="G207" s="115"/>
      <c r="H207" s="117">
        <v>44742</v>
      </c>
      <c r="I207" s="115">
        <v>50</v>
      </c>
      <c r="J207" s="115">
        <v>16739.150000000001</v>
      </c>
      <c r="K207" s="115">
        <v>16800</v>
      </c>
      <c r="L207" s="119">
        <f t="shared" ca="1" si="698"/>
        <v>0</v>
      </c>
      <c r="M207" s="119">
        <f t="shared" si="699"/>
        <v>3042.4999999999272</v>
      </c>
      <c r="N207" s="115">
        <f t="shared" si="700"/>
        <v>1.0036351905562706</v>
      </c>
      <c r="O207" s="156">
        <f t="shared" si="701"/>
        <v>12554.362500000001</v>
      </c>
      <c r="P207" s="160">
        <f t="shared" si="507"/>
        <v>836957.50000000012</v>
      </c>
      <c r="Q207" s="160" t="e">
        <f t="shared" si="702"/>
        <v>#N/A</v>
      </c>
      <c r="R207" s="153" t="e">
        <f t="shared" ca="1" si="683"/>
        <v>#VALUE!</v>
      </c>
      <c r="S207" s="119">
        <f t="shared" si="703"/>
        <v>1673.9149999999997</v>
      </c>
      <c r="T207" s="115" t="str">
        <f>VLOOKUP(TRIM($F207),Reference!B:C,2,0)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07" s="170">
        <f t="shared" ca="1" si="704"/>
        <v>0</v>
      </c>
      <c r="V207" s="120" t="str">
        <f t="shared" si="670"/>
        <v>NIFTY22JUNFUT</v>
      </c>
      <c r="W207" s="158" t="e">
        <f>VLOOKUP($V207,Reference!BA:BD,4,0)</f>
        <v>#N/A</v>
      </c>
      <c r="X207" s="160">
        <f t="shared" ca="1" si="671"/>
        <v>0</v>
      </c>
      <c r="Y207" s="160">
        <f t="shared" ca="1" si="672"/>
        <v>0</v>
      </c>
      <c r="Z207" s="160">
        <f t="shared" ca="1" si="686"/>
        <v>0</v>
      </c>
      <c r="AA207" s="160">
        <f t="shared" ca="1" si="673"/>
        <v>0</v>
      </c>
      <c r="AB207" s="160">
        <f t="shared" ca="1" si="674"/>
        <v>0</v>
      </c>
      <c r="AC207" s="119">
        <f t="shared" ca="1" si="675"/>
        <v>0</v>
      </c>
      <c r="AD207" s="115">
        <f t="shared" ca="1" si="705"/>
        <v>-1.210958904109589</v>
      </c>
      <c r="AE207" s="115">
        <f t="shared" si="706"/>
        <v>20</v>
      </c>
      <c r="AF207" s="115"/>
      <c r="AG207" s="115"/>
      <c r="AH207" s="115">
        <f t="shared" si="508"/>
        <v>0</v>
      </c>
      <c r="AI207" s="115"/>
      <c r="AJ207" s="115">
        <f t="shared" si="509"/>
        <v>25.108725000000003</v>
      </c>
      <c r="AK207" s="115"/>
      <c r="AL207" s="142"/>
      <c r="AM207" s="153"/>
      <c r="AN207" s="153"/>
      <c r="AO207" s="153"/>
      <c r="AP207" s="153"/>
      <c r="AQ207" s="153"/>
      <c r="AR207" s="153"/>
      <c r="AS207" s="153"/>
      <c r="AT207" s="153"/>
      <c r="AU207" s="153"/>
      <c r="AV207" s="153"/>
      <c r="AW207" s="153"/>
      <c r="AX207" s="153"/>
      <c r="AY207" s="153"/>
      <c r="AZ207" s="153"/>
      <c r="BA207" s="153"/>
      <c r="BB207" s="153"/>
      <c r="BC207" s="153"/>
      <c r="BD207" s="153"/>
      <c r="BE207" s="153"/>
      <c r="BF207" s="153"/>
      <c r="BG207" s="153"/>
      <c r="BS207" s="13">
        <v>2</v>
      </c>
      <c r="BT207" s="123">
        <v>44491</v>
      </c>
      <c r="BU207" s="116" t="s">
        <v>8</v>
      </c>
      <c r="BV207" s="115" t="s">
        <v>482</v>
      </c>
      <c r="BW207" s="116" t="s">
        <v>502</v>
      </c>
      <c r="BX207" s="115">
        <v>18400</v>
      </c>
      <c r="BY207" s="115">
        <v>41.7</v>
      </c>
      <c r="BZ207" s="115">
        <v>47.945</v>
      </c>
      <c r="CA207" s="119">
        <v>-3216.6708800000001</v>
      </c>
      <c r="CB207" s="115">
        <v>1.1497601918465228</v>
      </c>
      <c r="CC207" s="115">
        <v>500</v>
      </c>
      <c r="CD207" s="115">
        <v>50</v>
      </c>
      <c r="CE207" s="119">
        <v>20850</v>
      </c>
    </row>
    <row r="208" spans="1:83" hidden="1">
      <c r="A208" s="13">
        <f t="shared" si="506"/>
        <v>201</v>
      </c>
      <c r="B208" s="123">
        <v>44686</v>
      </c>
      <c r="C208" s="116" t="s">
        <v>8</v>
      </c>
      <c r="D208" s="116">
        <v>1</v>
      </c>
      <c r="E208" s="115" t="s">
        <v>481</v>
      </c>
      <c r="F208" s="116" t="s">
        <v>126</v>
      </c>
      <c r="G208" s="115">
        <v>220</v>
      </c>
      <c r="H208" s="117">
        <v>44707</v>
      </c>
      <c r="I208" s="115">
        <v>3750</v>
      </c>
      <c r="J208" s="115">
        <v>3.9</v>
      </c>
      <c r="K208" s="115">
        <v>0.25</v>
      </c>
      <c r="L208" s="119">
        <f t="shared" ca="1" si="698"/>
        <v>0</v>
      </c>
      <c r="M208" s="119">
        <f t="shared" si="699"/>
        <v>13687.5</v>
      </c>
      <c r="N208" s="115">
        <f t="shared" si="700"/>
        <v>6.4102564102564111E-2</v>
      </c>
      <c r="O208" s="156">
        <f t="shared" si="701"/>
        <v>4.875</v>
      </c>
      <c r="P208" s="160">
        <f t="shared" si="507"/>
        <v>14625</v>
      </c>
      <c r="Q208" s="160" t="e">
        <f t="shared" si="702"/>
        <v>#N/A</v>
      </c>
      <c r="R208" s="153" t="e">
        <f t="shared" ca="1" si="683"/>
        <v>#VALUE!</v>
      </c>
      <c r="S208" s="119">
        <f t="shared" si="703"/>
        <v>0.3899999999999999</v>
      </c>
      <c r="T208" s="115" t="e">
        <f>VLOOKUP(TRIM($F208),Reference!B:C,2,0)</f>
        <v>#VALUE!</v>
      </c>
      <c r="U208" s="170">
        <f t="shared" ca="1" si="704"/>
        <v>0</v>
      </c>
      <c r="V208" s="120" t="str">
        <f t="shared" si="670"/>
        <v>IEX22MAY220CE</v>
      </c>
      <c r="W208" s="158" t="e">
        <f>VLOOKUP($V208,Reference!BA:BD,4,0)</f>
        <v>#N/A</v>
      </c>
      <c r="X208" s="160">
        <f t="shared" ca="1" si="671"/>
        <v>0</v>
      </c>
      <c r="Y208" s="160">
        <f t="shared" ca="1" si="672"/>
        <v>0</v>
      </c>
      <c r="Z208" s="160">
        <f t="shared" ca="1" si="686"/>
        <v>0</v>
      </c>
      <c r="AA208" s="160">
        <f t="shared" ca="1" si="673"/>
        <v>0</v>
      </c>
      <c r="AB208" s="160">
        <f t="shared" ca="1" si="674"/>
        <v>0</v>
      </c>
      <c r="AC208" s="119">
        <f t="shared" ca="1" si="675"/>
        <v>0</v>
      </c>
      <c r="AD208" s="115">
        <f t="shared" ca="1" si="705"/>
        <v>-1.3068493150684932</v>
      </c>
      <c r="AE208" s="115">
        <f t="shared" si="706"/>
        <v>20</v>
      </c>
      <c r="AF208" s="115"/>
      <c r="AG208" s="115"/>
      <c r="AH208" s="115">
        <f t="shared" si="508"/>
        <v>7.3125</v>
      </c>
      <c r="AI208" s="115"/>
      <c r="AJ208" s="115">
        <f t="shared" si="509"/>
        <v>0</v>
      </c>
      <c r="AK208" s="115"/>
      <c r="AL208" s="142"/>
      <c r="AM208" s="153"/>
      <c r="AN208" s="153"/>
      <c r="AO208" s="153"/>
      <c r="AP208" s="153"/>
      <c r="AQ208" s="153"/>
      <c r="AR208" s="153"/>
      <c r="AS208" s="153"/>
      <c r="AT208" s="153"/>
      <c r="AU208" s="153"/>
      <c r="AV208" s="153"/>
      <c r="AW208" s="153"/>
      <c r="AX208" s="153"/>
      <c r="AY208" s="153"/>
      <c r="AZ208" s="153"/>
      <c r="BA208" s="153"/>
      <c r="BB208" s="153"/>
      <c r="BC208" s="153"/>
      <c r="BD208" s="153"/>
      <c r="BE208" s="153"/>
      <c r="BF208" s="153"/>
      <c r="BG208" s="153"/>
      <c r="BS208" s="13">
        <v>2</v>
      </c>
      <c r="BT208" s="123">
        <v>44491</v>
      </c>
      <c r="BU208" s="116" t="s">
        <v>8</v>
      </c>
      <c r="BV208" s="115" t="s">
        <v>482</v>
      </c>
      <c r="BW208" s="116" t="s">
        <v>502</v>
      </c>
      <c r="BX208" s="115">
        <v>18400</v>
      </c>
      <c r="BY208" s="115">
        <v>41.7</v>
      </c>
      <c r="BZ208" s="115">
        <v>47.945</v>
      </c>
      <c r="CA208" s="119">
        <v>-3216.6708800000001</v>
      </c>
      <c r="CB208" s="115">
        <v>1.1497601918465228</v>
      </c>
      <c r="CC208" s="115">
        <v>500</v>
      </c>
      <c r="CD208" s="115">
        <v>50</v>
      </c>
      <c r="CE208" s="119">
        <v>20850</v>
      </c>
    </row>
    <row r="209" spans="1:83" hidden="1">
      <c r="A209" s="13">
        <f t="shared" si="506"/>
        <v>202</v>
      </c>
      <c r="B209" s="123">
        <v>44686</v>
      </c>
      <c r="C209" s="116" t="s">
        <v>8</v>
      </c>
      <c r="D209" s="116">
        <v>1</v>
      </c>
      <c r="E209" s="115" t="s">
        <v>482</v>
      </c>
      <c r="F209" s="116" t="s">
        <v>130</v>
      </c>
      <c r="G209" s="115">
        <v>230</v>
      </c>
      <c r="H209" s="117">
        <v>44707</v>
      </c>
      <c r="I209" s="115">
        <v>6750</v>
      </c>
      <c r="J209" s="115">
        <v>4.1500000000000004</v>
      </c>
      <c r="K209" s="115">
        <v>0</v>
      </c>
      <c r="L209" s="119">
        <f t="shared" ref="L209:L214" ca="1" si="707">IF(AND(K209&lt;&gt;0,I209&lt;&gt;0),(IF(C209="B",1,-1))*(K209-J209)*I209-AK209*2,0)*$D209*IF(MONTH($B$2)=MONTH($H209),1,0)</f>
        <v>0</v>
      </c>
      <c r="M209" s="119">
        <f t="shared" ref="M209:M214" si="708">IF(AND(K209&lt;&gt;0,I209&lt;&gt;0),(IF(C209="B",1,-1))*(K209-J209)*I209-AK209*2,0)*$D209</f>
        <v>0</v>
      </c>
      <c r="N209" s="115">
        <f t="shared" ref="N209:N214" si="709">K209/$J209</f>
        <v>0</v>
      </c>
      <c r="O209" s="156">
        <f t="shared" ref="O209:O214" si="710">J209*(1+$O$6*IF(C209="B",-1,1))</f>
        <v>5.1875</v>
      </c>
      <c r="P209" s="160">
        <f t="shared" si="507"/>
        <v>28012.500000000004</v>
      </c>
      <c r="Q209" s="160" t="e">
        <f t="shared" ref="Q209:Q214" si="711">(W209-J209)*I209*IF(C209="B",1,-1)*IF(K209=0,1,0)</f>
        <v>#N/A</v>
      </c>
      <c r="R209" s="153" t="e">
        <f t="shared" ca="1" si="683"/>
        <v>#VALUE!</v>
      </c>
      <c r="S209" s="119">
        <f t="shared" ref="S209:S214" si="712">(1-$S$6)*J209</f>
        <v>0.41499999999999992</v>
      </c>
      <c r="T209" s="115" t="e">
        <f>VLOOKUP(TRIM($F209),Reference!B:C,2,0)</f>
        <v>#VALUE!</v>
      </c>
      <c r="U209" s="170">
        <f t="shared" ref="U209:U214" ca="1" si="713">AC209</f>
        <v>0</v>
      </c>
      <c r="V209" s="120" t="str">
        <f t="shared" si="670"/>
        <v>TATAPOWER22MAY230PE</v>
      </c>
      <c r="W209" s="158" t="e">
        <f>VLOOKUP($V209,Reference!BA:BD,4,0)</f>
        <v>#N/A</v>
      </c>
      <c r="X209" s="160">
        <f t="shared" ca="1" si="671"/>
        <v>0</v>
      </c>
      <c r="Y209" s="160">
        <f t="shared" ca="1" si="672"/>
        <v>0</v>
      </c>
      <c r="Z209" s="160">
        <f t="shared" ca="1" si="686"/>
        <v>0</v>
      </c>
      <c r="AA209" s="160">
        <f t="shared" ca="1" si="673"/>
        <v>0</v>
      </c>
      <c r="AB209" s="160">
        <f t="shared" ca="1" si="674"/>
        <v>0</v>
      </c>
      <c r="AC209" s="119">
        <f t="shared" ca="1" si="675"/>
        <v>0</v>
      </c>
      <c r="AD209" s="115">
        <f t="shared" ref="AD209:AD214" ca="1" si="714">(H209-TODAY())/365</f>
        <v>-1.3068493150684932</v>
      </c>
      <c r="AE209" s="115">
        <f t="shared" ref="AE209:AE214" si="715">IF(I209&lt;&gt;0,20,0)</f>
        <v>20</v>
      </c>
      <c r="AF209" s="115"/>
      <c r="AG209" s="115"/>
      <c r="AH209" s="115">
        <f t="shared" si="508"/>
        <v>14.006250000000001</v>
      </c>
      <c r="AI209" s="115"/>
      <c r="AJ209" s="115">
        <f t="shared" si="509"/>
        <v>0</v>
      </c>
      <c r="AK209" s="115"/>
      <c r="AL209" s="142"/>
      <c r="AM209" s="153"/>
      <c r="AN209" s="153"/>
      <c r="AO209" s="153"/>
      <c r="AP209" s="153"/>
      <c r="AQ209" s="153"/>
      <c r="AR209" s="153"/>
      <c r="AS209" s="153"/>
      <c r="AT209" s="153"/>
      <c r="AU209" s="153"/>
      <c r="AV209" s="153"/>
      <c r="AW209" s="153"/>
      <c r="AX209" s="153"/>
      <c r="AY209" s="153"/>
      <c r="AZ209" s="153"/>
      <c r="BA209" s="153"/>
      <c r="BB209" s="153"/>
      <c r="BC209" s="153"/>
      <c r="BD209" s="153"/>
      <c r="BE209" s="153"/>
      <c r="BF209" s="153"/>
      <c r="BG209" s="153"/>
      <c r="BS209" s="13">
        <v>2</v>
      </c>
      <c r="BT209" s="123">
        <v>44491</v>
      </c>
      <c r="BU209" s="116" t="s">
        <v>8</v>
      </c>
      <c r="BV209" s="115" t="s">
        <v>482</v>
      </c>
      <c r="BW209" s="116" t="s">
        <v>502</v>
      </c>
      <c r="BX209" s="115">
        <v>18400</v>
      </c>
      <c r="BY209" s="115">
        <v>41.7</v>
      </c>
      <c r="BZ209" s="115">
        <v>47.945</v>
      </c>
      <c r="CA209" s="119">
        <v>-3216.6708800000001</v>
      </c>
      <c r="CB209" s="115">
        <v>1.1497601918465228</v>
      </c>
      <c r="CC209" s="115">
        <v>500</v>
      </c>
      <c r="CD209" s="115">
        <v>50</v>
      </c>
      <c r="CE209" s="119">
        <v>20850</v>
      </c>
    </row>
    <row r="210" spans="1:83" hidden="1">
      <c r="A210" s="13">
        <f t="shared" si="506"/>
        <v>203</v>
      </c>
      <c r="B210" s="123">
        <v>44687</v>
      </c>
      <c r="C210" s="116" t="s">
        <v>6</v>
      </c>
      <c r="D210" s="116">
        <v>1</v>
      </c>
      <c r="E210" s="115" t="s">
        <v>632</v>
      </c>
      <c r="F210" s="116" t="s">
        <v>126</v>
      </c>
      <c r="G210" s="115"/>
      <c r="H210" s="117">
        <v>44707</v>
      </c>
      <c r="I210" s="115">
        <v>3750</v>
      </c>
      <c r="J210" s="115">
        <v>198.5</v>
      </c>
      <c r="K210" s="115">
        <v>199.05</v>
      </c>
      <c r="L210" s="119">
        <f t="shared" ca="1" si="707"/>
        <v>0</v>
      </c>
      <c r="M210" s="119">
        <f t="shared" si="708"/>
        <v>2062.5000000000427</v>
      </c>
      <c r="N210" s="115">
        <f t="shared" si="709"/>
        <v>1.0027707808564232</v>
      </c>
      <c r="O210" s="156">
        <f t="shared" si="710"/>
        <v>148.875</v>
      </c>
      <c r="P210" s="160">
        <f t="shared" si="507"/>
        <v>744375</v>
      </c>
      <c r="Q210" s="160" t="e">
        <f t="shared" si="711"/>
        <v>#N/A</v>
      </c>
      <c r="R210" s="153" t="e">
        <f t="shared" ca="1" si="683"/>
        <v>#VALUE!</v>
      </c>
      <c r="S210" s="119">
        <f t="shared" si="712"/>
        <v>19.849999999999994</v>
      </c>
      <c r="T210" s="115" t="e">
        <f>VLOOKUP(TRIM($F210),Reference!B:C,2,0)</f>
        <v>#VALUE!</v>
      </c>
      <c r="U210" s="170">
        <f t="shared" ca="1" si="713"/>
        <v>0</v>
      </c>
      <c r="V210" s="120" t="str">
        <f t="shared" si="670"/>
        <v>IEX22MAYFUT</v>
      </c>
      <c r="W210" s="158" t="e">
        <f>VLOOKUP($V210,Reference!BA:BD,4,0)</f>
        <v>#N/A</v>
      </c>
      <c r="X210" s="160">
        <f t="shared" ca="1" si="671"/>
        <v>0</v>
      </c>
      <c r="Y210" s="160">
        <f t="shared" ca="1" si="672"/>
        <v>0</v>
      </c>
      <c r="Z210" s="160">
        <f t="shared" ca="1" si="686"/>
        <v>0</v>
      </c>
      <c r="AA210" s="160">
        <f t="shared" ca="1" si="673"/>
        <v>0</v>
      </c>
      <c r="AB210" s="160">
        <f t="shared" ca="1" si="674"/>
        <v>0</v>
      </c>
      <c r="AC210" s="119">
        <f t="shared" ca="1" si="675"/>
        <v>0</v>
      </c>
      <c r="AD210" s="115">
        <f t="shared" ca="1" si="714"/>
        <v>-1.3068493150684932</v>
      </c>
      <c r="AE210" s="115">
        <f t="shared" si="715"/>
        <v>20</v>
      </c>
      <c r="AF210" s="115"/>
      <c r="AG210" s="115"/>
      <c r="AH210" s="115">
        <f t="shared" si="508"/>
        <v>0</v>
      </c>
      <c r="AI210" s="115"/>
      <c r="AJ210" s="115">
        <f t="shared" si="509"/>
        <v>22.331250000000001</v>
      </c>
      <c r="AK210" s="115"/>
      <c r="AL210" s="142"/>
      <c r="AM210" s="153"/>
      <c r="AN210" s="153"/>
      <c r="AO210" s="153"/>
      <c r="AP210" s="153"/>
      <c r="AQ210" s="153"/>
      <c r="AR210" s="153"/>
      <c r="AS210" s="153"/>
      <c r="AT210" s="153"/>
      <c r="AU210" s="153"/>
      <c r="AV210" s="153"/>
      <c r="AW210" s="153"/>
      <c r="AX210" s="153"/>
      <c r="AY210" s="153"/>
      <c r="AZ210" s="153"/>
      <c r="BA210" s="153"/>
      <c r="BB210" s="153"/>
      <c r="BC210" s="153"/>
      <c r="BD210" s="153"/>
      <c r="BE210" s="153"/>
      <c r="BF210" s="153"/>
      <c r="BG210" s="153"/>
      <c r="BS210" s="13">
        <v>2</v>
      </c>
      <c r="BT210" s="123">
        <v>44491</v>
      </c>
      <c r="BU210" s="116" t="s">
        <v>8</v>
      </c>
      <c r="BV210" s="115" t="s">
        <v>482</v>
      </c>
      <c r="BW210" s="116" t="s">
        <v>502</v>
      </c>
      <c r="BX210" s="115">
        <v>18400</v>
      </c>
      <c r="BY210" s="115">
        <v>41.7</v>
      </c>
      <c r="BZ210" s="115">
        <v>47.945</v>
      </c>
      <c r="CA210" s="119">
        <v>-3216.6708800000001</v>
      </c>
      <c r="CB210" s="115">
        <v>1.1497601918465228</v>
      </c>
      <c r="CC210" s="115">
        <v>500</v>
      </c>
      <c r="CD210" s="115">
        <v>50</v>
      </c>
      <c r="CE210" s="119">
        <v>20850</v>
      </c>
    </row>
    <row r="211" spans="1:83" hidden="1">
      <c r="A211" s="13">
        <f t="shared" si="506"/>
        <v>204</v>
      </c>
      <c r="B211" s="123">
        <v>44687</v>
      </c>
      <c r="C211" s="116" t="s">
        <v>8</v>
      </c>
      <c r="D211" s="116">
        <v>1</v>
      </c>
      <c r="E211" s="115" t="s">
        <v>481</v>
      </c>
      <c r="F211" s="116" t="s">
        <v>126</v>
      </c>
      <c r="G211" s="115">
        <v>220</v>
      </c>
      <c r="H211" s="117">
        <v>44707</v>
      </c>
      <c r="I211" s="115">
        <v>3750</v>
      </c>
      <c r="J211" s="115">
        <v>2.2000000000000002</v>
      </c>
      <c r="K211" s="115">
        <v>0.25</v>
      </c>
      <c r="L211" s="119">
        <f t="shared" ca="1" si="707"/>
        <v>0</v>
      </c>
      <c r="M211" s="119">
        <f t="shared" si="708"/>
        <v>7312.5000000000009</v>
      </c>
      <c r="N211" s="115">
        <f t="shared" si="709"/>
        <v>0.11363636363636363</v>
      </c>
      <c r="O211" s="156">
        <f t="shared" si="710"/>
        <v>2.75</v>
      </c>
      <c r="P211" s="160">
        <f t="shared" si="507"/>
        <v>8250</v>
      </c>
      <c r="Q211" s="160" t="e">
        <f t="shared" si="711"/>
        <v>#N/A</v>
      </c>
      <c r="R211" s="153" t="e">
        <f t="shared" ca="1" si="683"/>
        <v>#VALUE!</v>
      </c>
      <c r="S211" s="119">
        <f t="shared" si="712"/>
        <v>0.21999999999999997</v>
      </c>
      <c r="T211" s="115" t="e">
        <f>VLOOKUP(TRIM($F211),Reference!B:C,2,0)</f>
        <v>#VALUE!</v>
      </c>
      <c r="U211" s="170">
        <f t="shared" ca="1" si="713"/>
        <v>0</v>
      </c>
      <c r="V211" s="120" t="str">
        <f t="shared" si="670"/>
        <v>IEX22MAY220CE</v>
      </c>
      <c r="W211" s="158" t="e">
        <f>VLOOKUP($V211,Reference!BA:BD,4,0)</f>
        <v>#N/A</v>
      </c>
      <c r="X211" s="160">
        <f t="shared" ca="1" si="671"/>
        <v>0</v>
      </c>
      <c r="Y211" s="160">
        <f t="shared" ca="1" si="672"/>
        <v>0</v>
      </c>
      <c r="Z211" s="160">
        <f t="shared" ca="1" si="686"/>
        <v>0</v>
      </c>
      <c r="AA211" s="160">
        <f t="shared" ca="1" si="673"/>
        <v>0</v>
      </c>
      <c r="AB211" s="160">
        <f t="shared" ca="1" si="674"/>
        <v>0</v>
      </c>
      <c r="AC211" s="119">
        <f t="shared" ca="1" si="675"/>
        <v>0</v>
      </c>
      <c r="AD211" s="115">
        <f t="shared" ca="1" si="714"/>
        <v>-1.3068493150684932</v>
      </c>
      <c r="AE211" s="115">
        <f t="shared" si="715"/>
        <v>20</v>
      </c>
      <c r="AF211" s="115"/>
      <c r="AG211" s="115"/>
      <c r="AH211" s="115">
        <f t="shared" si="508"/>
        <v>4.125</v>
      </c>
      <c r="AI211" s="115"/>
      <c r="AJ211" s="115">
        <f t="shared" si="509"/>
        <v>0</v>
      </c>
      <c r="AK211" s="115"/>
      <c r="AL211" s="142"/>
      <c r="AM211" s="153"/>
      <c r="AN211" s="153"/>
      <c r="AO211" s="153"/>
      <c r="AP211" s="153"/>
      <c r="AQ211" s="153"/>
      <c r="AR211" s="153"/>
      <c r="AS211" s="153"/>
      <c r="AT211" s="153"/>
      <c r="AU211" s="153"/>
      <c r="AV211" s="153"/>
      <c r="AW211" s="153"/>
      <c r="AX211" s="153"/>
      <c r="AY211" s="153"/>
      <c r="AZ211" s="153"/>
      <c r="BA211" s="153"/>
      <c r="BB211" s="153"/>
      <c r="BC211" s="153"/>
      <c r="BD211" s="153"/>
      <c r="BE211" s="153"/>
      <c r="BF211" s="153"/>
      <c r="BG211" s="153"/>
      <c r="BS211" s="13">
        <v>2</v>
      </c>
      <c r="BT211" s="123">
        <v>44491</v>
      </c>
      <c r="BU211" s="116" t="s">
        <v>8</v>
      </c>
      <c r="BV211" s="115" t="s">
        <v>482</v>
      </c>
      <c r="BW211" s="116" t="s">
        <v>502</v>
      </c>
      <c r="BX211" s="115">
        <v>18400</v>
      </c>
      <c r="BY211" s="115">
        <v>41.7</v>
      </c>
      <c r="BZ211" s="115">
        <v>47.945</v>
      </c>
      <c r="CA211" s="119">
        <v>-3216.6708800000001</v>
      </c>
      <c r="CB211" s="115">
        <v>1.1497601918465228</v>
      </c>
      <c r="CC211" s="115">
        <v>500</v>
      </c>
      <c r="CD211" s="115">
        <v>50</v>
      </c>
      <c r="CE211" s="119">
        <v>20850</v>
      </c>
    </row>
    <row r="212" spans="1:83" hidden="1">
      <c r="A212" s="13">
        <f t="shared" si="506"/>
        <v>205</v>
      </c>
      <c r="B212" s="123">
        <v>44687</v>
      </c>
      <c r="C212" s="116" t="s">
        <v>6</v>
      </c>
      <c r="D212" s="116">
        <v>1</v>
      </c>
      <c r="E212" s="115" t="s">
        <v>632</v>
      </c>
      <c r="F212" s="116" t="s">
        <v>502</v>
      </c>
      <c r="G212" s="115"/>
      <c r="H212" s="117">
        <v>44707</v>
      </c>
      <c r="I212" s="115">
        <v>50</v>
      </c>
      <c r="J212" s="115">
        <v>16398</v>
      </c>
      <c r="K212" s="115">
        <v>16076.6</v>
      </c>
      <c r="L212" s="119">
        <f t="shared" ca="1" si="707"/>
        <v>0</v>
      </c>
      <c r="M212" s="119">
        <f t="shared" si="708"/>
        <v>-16069.999999999982</v>
      </c>
      <c r="N212" s="115">
        <f t="shared" si="709"/>
        <v>0.98040004878643738</v>
      </c>
      <c r="O212" s="156">
        <f t="shared" si="710"/>
        <v>12298.5</v>
      </c>
      <c r="P212" s="160">
        <f t="shared" si="507"/>
        <v>819900</v>
      </c>
      <c r="Q212" s="160" t="e">
        <f t="shared" si="711"/>
        <v>#N/A</v>
      </c>
      <c r="R212" s="153" t="e">
        <f t="shared" ca="1" si="683"/>
        <v>#VALUE!</v>
      </c>
      <c r="S212" s="119">
        <f t="shared" si="712"/>
        <v>1639.7999999999997</v>
      </c>
      <c r="T212" s="115" t="str">
        <f>VLOOKUP(TRIM($F212),Reference!B:C,2,0)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12" s="170">
        <f t="shared" ca="1" si="713"/>
        <v>0</v>
      </c>
      <c r="V212" s="120" t="str">
        <f t="shared" si="670"/>
        <v>NIFTY22MAYFUT</v>
      </c>
      <c r="W212" s="158" t="e">
        <f>VLOOKUP($V212,Reference!BA:BD,4,0)</f>
        <v>#N/A</v>
      </c>
      <c r="X212" s="160">
        <f t="shared" ca="1" si="671"/>
        <v>0</v>
      </c>
      <c r="Y212" s="160">
        <f t="shared" ca="1" si="672"/>
        <v>0</v>
      </c>
      <c r="Z212" s="160">
        <f t="shared" ca="1" si="686"/>
        <v>0</v>
      </c>
      <c r="AA212" s="160">
        <f t="shared" ca="1" si="673"/>
        <v>0</v>
      </c>
      <c r="AB212" s="160">
        <f t="shared" ca="1" si="674"/>
        <v>0</v>
      </c>
      <c r="AC212" s="119">
        <f t="shared" ca="1" si="675"/>
        <v>0</v>
      </c>
      <c r="AD212" s="115">
        <f t="shared" ca="1" si="714"/>
        <v>-1.3068493150684932</v>
      </c>
      <c r="AE212" s="115">
        <f t="shared" si="715"/>
        <v>20</v>
      </c>
      <c r="AF212" s="115"/>
      <c r="AG212" s="115"/>
      <c r="AH212" s="115">
        <f t="shared" si="508"/>
        <v>0</v>
      </c>
      <c r="AI212" s="115"/>
      <c r="AJ212" s="115">
        <f t="shared" si="509"/>
        <v>24.597000000000001</v>
      </c>
      <c r="AK212" s="115"/>
      <c r="AL212" s="142"/>
      <c r="AM212" s="153"/>
      <c r="AN212" s="153"/>
      <c r="AO212" s="153"/>
      <c r="AP212" s="153"/>
      <c r="AQ212" s="153"/>
      <c r="AR212" s="153"/>
      <c r="AS212" s="153"/>
      <c r="AT212" s="153"/>
      <c r="AU212" s="153"/>
      <c r="AV212" s="153"/>
      <c r="AW212" s="153"/>
      <c r="AX212" s="153"/>
      <c r="AY212" s="153"/>
      <c r="AZ212" s="153"/>
      <c r="BA212" s="153"/>
      <c r="BB212" s="153"/>
      <c r="BC212" s="153"/>
      <c r="BD212" s="153"/>
      <c r="BE212" s="153"/>
      <c r="BF212" s="153"/>
      <c r="BG212" s="153"/>
      <c r="BS212" s="13">
        <v>2</v>
      </c>
      <c r="BT212" s="123">
        <v>44491</v>
      </c>
      <c r="BU212" s="116" t="s">
        <v>8</v>
      </c>
      <c r="BV212" s="115" t="s">
        <v>482</v>
      </c>
      <c r="BW212" s="116" t="s">
        <v>502</v>
      </c>
      <c r="BX212" s="115">
        <v>18400</v>
      </c>
      <c r="BY212" s="115">
        <v>41.7</v>
      </c>
      <c r="BZ212" s="115">
        <v>47.945</v>
      </c>
      <c r="CA212" s="119">
        <v>-3216.6708800000001</v>
      </c>
      <c r="CB212" s="115">
        <v>1.1497601918465228</v>
      </c>
      <c r="CC212" s="115">
        <v>500</v>
      </c>
      <c r="CD212" s="115">
        <v>50</v>
      </c>
      <c r="CE212" s="119">
        <v>20850</v>
      </c>
    </row>
    <row r="213" spans="1:83" hidden="1">
      <c r="A213" s="13">
        <f t="shared" si="506"/>
        <v>206</v>
      </c>
      <c r="B213" s="123">
        <v>44690</v>
      </c>
      <c r="C213" s="116" t="s">
        <v>8</v>
      </c>
      <c r="D213" s="116">
        <v>1</v>
      </c>
      <c r="E213" s="115" t="s">
        <v>481</v>
      </c>
      <c r="F213" s="116" t="s">
        <v>130</v>
      </c>
      <c r="G213" s="115">
        <v>255</v>
      </c>
      <c r="H213" s="117">
        <v>44707</v>
      </c>
      <c r="I213" s="115">
        <v>3375</v>
      </c>
      <c r="J213" s="115">
        <v>2.2999999999999998</v>
      </c>
      <c r="K213" s="115">
        <v>0.05</v>
      </c>
      <c r="L213" s="119">
        <f t="shared" ca="1" si="707"/>
        <v>0</v>
      </c>
      <c r="M213" s="119">
        <f t="shared" si="708"/>
        <v>7593.75</v>
      </c>
      <c r="N213" s="115">
        <f t="shared" si="709"/>
        <v>2.1739130434782612E-2</v>
      </c>
      <c r="O213" s="156">
        <f t="shared" si="710"/>
        <v>2.875</v>
      </c>
      <c r="P213" s="160">
        <f t="shared" si="507"/>
        <v>7762.4999999999991</v>
      </c>
      <c r="Q213" s="160" t="e">
        <f t="shared" si="711"/>
        <v>#N/A</v>
      </c>
      <c r="R213" s="153" t="e">
        <f t="shared" ca="1" si="683"/>
        <v>#VALUE!</v>
      </c>
      <c r="S213" s="119">
        <f t="shared" si="712"/>
        <v>0.22999999999999993</v>
      </c>
      <c r="T213" s="115" t="e">
        <f>VLOOKUP(TRIM($F213),Reference!B:C,2,0)</f>
        <v>#VALUE!</v>
      </c>
      <c r="U213" s="170">
        <f t="shared" ca="1" si="713"/>
        <v>0</v>
      </c>
      <c r="V213" s="120" t="str">
        <f t="shared" si="670"/>
        <v>TATAPOWER22MAY255CE</v>
      </c>
      <c r="W213" s="158" t="e">
        <f>VLOOKUP($V213,Reference!BA:BD,4,0)</f>
        <v>#N/A</v>
      </c>
      <c r="X213" s="160">
        <f t="shared" ca="1" si="671"/>
        <v>0</v>
      </c>
      <c r="Y213" s="160">
        <f t="shared" ca="1" si="672"/>
        <v>0</v>
      </c>
      <c r="Z213" s="160">
        <f t="shared" ca="1" si="686"/>
        <v>0</v>
      </c>
      <c r="AA213" s="160">
        <f t="shared" ca="1" si="673"/>
        <v>0</v>
      </c>
      <c r="AB213" s="160">
        <f t="shared" ca="1" si="674"/>
        <v>0</v>
      </c>
      <c r="AC213" s="119">
        <f t="shared" ca="1" si="675"/>
        <v>0</v>
      </c>
      <c r="AD213" s="115">
        <f t="shared" ca="1" si="714"/>
        <v>-1.3068493150684932</v>
      </c>
      <c r="AE213" s="115">
        <f t="shared" si="715"/>
        <v>20</v>
      </c>
      <c r="AF213" s="115"/>
      <c r="AG213" s="115"/>
      <c r="AH213" s="115">
        <f t="shared" si="508"/>
        <v>3.8812499999999996</v>
      </c>
      <c r="AI213" s="115"/>
      <c r="AJ213" s="115">
        <f t="shared" si="509"/>
        <v>0</v>
      </c>
      <c r="AK213" s="115"/>
      <c r="AL213" s="142"/>
      <c r="AM213" s="153"/>
      <c r="AN213" s="153"/>
      <c r="AO213" s="153"/>
      <c r="AP213" s="153"/>
      <c r="AQ213" s="153"/>
      <c r="AR213" s="153"/>
      <c r="AS213" s="153"/>
      <c r="AT213" s="153"/>
      <c r="AU213" s="153"/>
      <c r="AV213" s="153"/>
      <c r="AW213" s="153"/>
      <c r="AX213" s="153"/>
      <c r="AY213" s="153"/>
      <c r="AZ213" s="153"/>
      <c r="BA213" s="153"/>
      <c r="BB213" s="153"/>
      <c r="BC213" s="153"/>
      <c r="BD213" s="153"/>
      <c r="BE213" s="153"/>
      <c r="BF213" s="153"/>
      <c r="BG213" s="153"/>
      <c r="BS213" s="13">
        <v>2</v>
      </c>
      <c r="BT213" s="123">
        <v>44491</v>
      </c>
      <c r="BU213" s="116" t="s">
        <v>8</v>
      </c>
      <c r="BV213" s="115" t="s">
        <v>482</v>
      </c>
      <c r="BW213" s="116" t="s">
        <v>502</v>
      </c>
      <c r="BX213" s="115">
        <v>18400</v>
      </c>
      <c r="BY213" s="115">
        <v>41.7</v>
      </c>
      <c r="BZ213" s="115">
        <v>47.945</v>
      </c>
      <c r="CA213" s="119">
        <v>-3216.6708800000001</v>
      </c>
      <c r="CB213" s="115">
        <v>1.1497601918465228</v>
      </c>
      <c r="CC213" s="115">
        <v>500</v>
      </c>
      <c r="CD213" s="115">
        <v>50</v>
      </c>
      <c r="CE213" s="119">
        <v>20850</v>
      </c>
    </row>
    <row r="214" spans="1:83" hidden="1">
      <c r="A214" s="13">
        <f t="shared" si="506"/>
        <v>207</v>
      </c>
      <c r="B214" s="123">
        <v>44690</v>
      </c>
      <c r="C214" s="116" t="s">
        <v>8</v>
      </c>
      <c r="D214" s="116">
        <v>1</v>
      </c>
      <c r="E214" s="115" t="s">
        <v>481</v>
      </c>
      <c r="F214" s="116" t="s">
        <v>284</v>
      </c>
      <c r="G214" s="115">
        <v>430</v>
      </c>
      <c r="H214" s="117">
        <v>44707</v>
      </c>
      <c r="I214" s="115">
        <v>1425</v>
      </c>
      <c r="J214" s="115">
        <v>6</v>
      </c>
      <c r="K214" s="115">
        <v>0.05</v>
      </c>
      <c r="L214" s="119">
        <f t="shared" ca="1" si="707"/>
        <v>0</v>
      </c>
      <c r="M214" s="119">
        <f t="shared" si="708"/>
        <v>8478.75</v>
      </c>
      <c r="N214" s="115">
        <f t="shared" si="709"/>
        <v>8.3333333333333332E-3</v>
      </c>
      <c r="O214" s="156">
        <f t="shared" si="710"/>
        <v>7.5</v>
      </c>
      <c r="P214" s="160">
        <f t="shared" si="507"/>
        <v>8550</v>
      </c>
      <c r="Q214" s="160" t="e">
        <f t="shared" si="711"/>
        <v>#N/A</v>
      </c>
      <c r="R214" s="153" t="e">
        <f t="shared" ca="1" si="683"/>
        <v>#VALUE!</v>
      </c>
      <c r="S214" s="119">
        <f t="shared" si="712"/>
        <v>0.59999999999999987</v>
      </c>
      <c r="T214" s="115" t="e">
        <f>VLOOKUP(TRIM($F214),Reference!B:C,2,0)</f>
        <v>#VALUE!</v>
      </c>
      <c r="U214" s="170">
        <f t="shared" ca="1" si="713"/>
        <v>0</v>
      </c>
      <c r="V214" s="120" t="str">
        <f t="shared" si="670"/>
        <v>TATAMOTORS22MAY430CE</v>
      </c>
      <c r="W214" s="158" t="e">
        <f>VLOOKUP($V214,Reference!BA:BD,4,0)</f>
        <v>#N/A</v>
      </c>
      <c r="X214" s="160">
        <f t="shared" ca="1" si="671"/>
        <v>0</v>
      </c>
      <c r="Y214" s="160">
        <f t="shared" ca="1" si="672"/>
        <v>0</v>
      </c>
      <c r="Z214" s="160">
        <f t="shared" ca="1" si="686"/>
        <v>0</v>
      </c>
      <c r="AA214" s="160">
        <f t="shared" ca="1" si="673"/>
        <v>0</v>
      </c>
      <c r="AB214" s="160">
        <f t="shared" ca="1" si="674"/>
        <v>0</v>
      </c>
      <c r="AC214" s="119">
        <f t="shared" ca="1" si="675"/>
        <v>0</v>
      </c>
      <c r="AD214" s="115">
        <f t="shared" ca="1" si="714"/>
        <v>-1.3068493150684932</v>
      </c>
      <c r="AE214" s="115">
        <f t="shared" si="715"/>
        <v>20</v>
      </c>
      <c r="AF214" s="115"/>
      <c r="AG214" s="115"/>
      <c r="AH214" s="115">
        <f t="shared" si="508"/>
        <v>4.2750000000000004</v>
      </c>
      <c r="AI214" s="115"/>
      <c r="AJ214" s="115">
        <f t="shared" si="509"/>
        <v>0</v>
      </c>
      <c r="AK214" s="115"/>
      <c r="AL214" s="142"/>
      <c r="AM214" s="153"/>
      <c r="AN214" s="153"/>
      <c r="AO214" s="153"/>
      <c r="AP214" s="153"/>
      <c r="AQ214" s="153"/>
      <c r="AR214" s="153"/>
      <c r="AS214" s="153"/>
      <c r="AT214" s="153"/>
      <c r="AU214" s="153"/>
      <c r="AV214" s="153"/>
      <c r="AW214" s="153"/>
      <c r="AX214" s="153"/>
      <c r="AY214" s="153"/>
      <c r="AZ214" s="153"/>
      <c r="BA214" s="153"/>
      <c r="BB214" s="153"/>
      <c r="BC214" s="153"/>
      <c r="BD214" s="153"/>
      <c r="BE214" s="153"/>
      <c r="BF214" s="153"/>
      <c r="BG214" s="153"/>
      <c r="BS214" s="13">
        <v>2</v>
      </c>
      <c r="BT214" s="123">
        <v>44491</v>
      </c>
      <c r="BU214" s="116" t="s">
        <v>8</v>
      </c>
      <c r="BV214" s="115" t="s">
        <v>482</v>
      </c>
      <c r="BW214" s="116" t="s">
        <v>502</v>
      </c>
      <c r="BX214" s="115">
        <v>18400</v>
      </c>
      <c r="BY214" s="115">
        <v>41.7</v>
      </c>
      <c r="BZ214" s="115">
        <v>47.945</v>
      </c>
      <c r="CA214" s="119">
        <v>-3216.6708800000001</v>
      </c>
      <c r="CB214" s="115">
        <v>1.1497601918465228</v>
      </c>
      <c r="CC214" s="115">
        <v>500</v>
      </c>
      <c r="CD214" s="115">
        <v>50</v>
      </c>
      <c r="CE214" s="119">
        <v>20850</v>
      </c>
    </row>
    <row r="215" spans="1:83" hidden="1">
      <c r="A215" s="13">
        <f t="shared" si="506"/>
        <v>208</v>
      </c>
      <c r="B215" s="123">
        <v>44690</v>
      </c>
      <c r="C215" s="116" t="s">
        <v>8</v>
      </c>
      <c r="D215" s="116">
        <v>1</v>
      </c>
      <c r="E215" s="115" t="s">
        <v>481</v>
      </c>
      <c r="F215" s="116" t="s">
        <v>284</v>
      </c>
      <c r="G215" s="115">
        <v>440</v>
      </c>
      <c r="H215" s="117">
        <v>44707</v>
      </c>
      <c r="I215" s="115">
        <v>1425</v>
      </c>
      <c r="J215" s="115">
        <v>4.4000000000000004</v>
      </c>
      <c r="K215" s="115">
        <v>0.05</v>
      </c>
      <c r="L215" s="119">
        <f t="shared" ref="L215:L216" ca="1" si="716">IF(AND(K215&lt;&gt;0,I215&lt;&gt;0),(IF(C215="B",1,-1))*(K215-J215)*I215-AK215*2,0)*$D215*IF(MONTH($B$2)=MONTH($H215),1,0)</f>
        <v>0</v>
      </c>
      <c r="M215" s="119">
        <f t="shared" ref="M215:M216" si="717">IF(AND(K215&lt;&gt;0,I215&lt;&gt;0),(IF(C215="B",1,-1))*(K215-J215)*I215-AK215*2,0)*$D215</f>
        <v>6198.7500000000009</v>
      </c>
      <c r="N215" s="115">
        <f t="shared" ref="N215:N216" si="718">K215/$J215</f>
        <v>1.1363636363636364E-2</v>
      </c>
      <c r="O215" s="156">
        <f t="shared" ref="O215:O216" si="719">J215*(1+$O$6*IF(C215="B",-1,1))</f>
        <v>5.5</v>
      </c>
      <c r="P215" s="160">
        <f t="shared" si="507"/>
        <v>6270.0000000000009</v>
      </c>
      <c r="Q215" s="160" t="e">
        <f t="shared" ref="Q215:Q216" si="720">(W215-J215)*I215*IF(C215="B",1,-1)*IF(K215=0,1,0)</f>
        <v>#N/A</v>
      </c>
      <c r="R215" s="153" t="e">
        <f t="shared" ca="1" si="683"/>
        <v>#VALUE!</v>
      </c>
      <c r="S215" s="119">
        <f t="shared" ref="S215:S216" si="721">(1-$S$6)*J215</f>
        <v>0.43999999999999995</v>
      </c>
      <c r="T215" s="115" t="e">
        <f>VLOOKUP(TRIM($F215),Reference!B:C,2,0)</f>
        <v>#VALUE!</v>
      </c>
      <c r="U215" s="170">
        <f t="shared" ref="U215:U216" ca="1" si="722">AC215</f>
        <v>0</v>
      </c>
      <c r="V215" s="120" t="str">
        <f t="shared" si="670"/>
        <v>TATAMOTORS22MAY440CE</v>
      </c>
      <c r="W215" s="158" t="e">
        <f>VLOOKUP($V215,Reference!BA:BD,4,0)</f>
        <v>#N/A</v>
      </c>
      <c r="X215" s="160">
        <f t="shared" ca="1" si="671"/>
        <v>0</v>
      </c>
      <c r="Y215" s="160">
        <f t="shared" ca="1" si="672"/>
        <v>0</v>
      </c>
      <c r="Z215" s="160">
        <f t="shared" ca="1" si="686"/>
        <v>0</v>
      </c>
      <c r="AA215" s="160">
        <f t="shared" ca="1" si="673"/>
        <v>0</v>
      </c>
      <c r="AB215" s="160">
        <f t="shared" ca="1" si="674"/>
        <v>0</v>
      </c>
      <c r="AC215" s="119">
        <f t="shared" ca="1" si="675"/>
        <v>0</v>
      </c>
      <c r="AD215" s="115">
        <f t="shared" ref="AD215:AD216" ca="1" si="723">(H215-TODAY())/365</f>
        <v>-1.3068493150684932</v>
      </c>
      <c r="AE215" s="115">
        <f t="shared" ref="AE215:AE216" si="724">IF(I215&lt;&gt;0,20,0)</f>
        <v>20</v>
      </c>
      <c r="AF215" s="115"/>
      <c r="AG215" s="115"/>
      <c r="AH215" s="115">
        <f t="shared" si="508"/>
        <v>3.1350000000000007</v>
      </c>
      <c r="AI215" s="115"/>
      <c r="AJ215" s="115">
        <f t="shared" si="509"/>
        <v>0</v>
      </c>
      <c r="AK215" s="115"/>
      <c r="AL215" s="142"/>
      <c r="AM215" s="153"/>
      <c r="AN215" s="153"/>
      <c r="AO215" s="153"/>
      <c r="AP215" s="153"/>
      <c r="AQ215" s="153"/>
      <c r="AR215" s="153"/>
      <c r="AS215" s="153"/>
      <c r="AT215" s="153"/>
      <c r="AU215" s="153"/>
      <c r="AV215" s="153"/>
      <c r="AW215" s="153"/>
      <c r="AX215" s="153"/>
      <c r="AY215" s="153"/>
      <c r="AZ215" s="153"/>
      <c r="BA215" s="153"/>
      <c r="BB215" s="153"/>
      <c r="BC215" s="153"/>
      <c r="BD215" s="153"/>
      <c r="BE215" s="153"/>
      <c r="BF215" s="153"/>
      <c r="BG215" s="153"/>
      <c r="BS215" s="13">
        <v>2</v>
      </c>
      <c r="BT215" s="123">
        <v>44491</v>
      </c>
      <c r="BU215" s="116" t="s">
        <v>8</v>
      </c>
      <c r="BV215" s="115" t="s">
        <v>482</v>
      </c>
      <c r="BW215" s="116" t="s">
        <v>502</v>
      </c>
      <c r="BX215" s="115">
        <v>18400</v>
      </c>
      <c r="BY215" s="115">
        <v>41.7</v>
      </c>
      <c r="BZ215" s="115">
        <v>47.945</v>
      </c>
      <c r="CA215" s="119">
        <v>-3216.6708800000001</v>
      </c>
      <c r="CB215" s="115">
        <v>1.1497601918465228</v>
      </c>
      <c r="CC215" s="115">
        <v>500</v>
      </c>
      <c r="CD215" s="115">
        <v>50</v>
      </c>
      <c r="CE215" s="119">
        <v>20850</v>
      </c>
    </row>
    <row r="216" spans="1:83" hidden="1">
      <c r="A216" s="13">
        <f t="shared" si="506"/>
        <v>209</v>
      </c>
      <c r="B216" s="123">
        <v>44680</v>
      </c>
      <c r="C216" s="116" t="s">
        <v>8</v>
      </c>
      <c r="D216" s="116">
        <v>1</v>
      </c>
      <c r="E216" s="115" t="s">
        <v>481</v>
      </c>
      <c r="F216" s="116" t="s">
        <v>502</v>
      </c>
      <c r="G216" s="115">
        <v>17400</v>
      </c>
      <c r="H216" s="117">
        <v>44707</v>
      </c>
      <c r="I216" s="115">
        <v>50</v>
      </c>
      <c r="J216" s="115">
        <v>26.5</v>
      </c>
      <c r="K216" s="115">
        <v>1.55</v>
      </c>
      <c r="L216" s="119">
        <f t="shared" ca="1" si="716"/>
        <v>0</v>
      </c>
      <c r="M216" s="119">
        <f t="shared" si="717"/>
        <v>1247.5</v>
      </c>
      <c r="N216" s="115">
        <f t="shared" si="718"/>
        <v>5.849056603773585E-2</v>
      </c>
      <c r="O216" s="156">
        <f t="shared" si="719"/>
        <v>33.125</v>
      </c>
      <c r="P216" s="160">
        <f t="shared" si="507"/>
        <v>1325</v>
      </c>
      <c r="Q216" s="160" t="e">
        <f t="shared" si="720"/>
        <v>#N/A</v>
      </c>
      <c r="R216" s="153" t="e">
        <f t="shared" ca="1" si="683"/>
        <v>#VALUE!</v>
      </c>
      <c r="S216" s="119">
        <f t="shared" si="721"/>
        <v>2.6499999999999995</v>
      </c>
      <c r="T216" s="115" t="str">
        <f>VLOOKUP(TRIM($F216),Reference!B:C,2,0)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16" s="170">
        <f t="shared" ca="1" si="722"/>
        <v>0</v>
      </c>
      <c r="V216" s="120" t="str">
        <f t="shared" si="670"/>
        <v>NIFTY22MAY17400CE</v>
      </c>
      <c r="W216" s="158" t="e">
        <f>VLOOKUP($V216,Reference!BA:BD,4,0)</f>
        <v>#N/A</v>
      </c>
      <c r="X216" s="160">
        <f t="shared" ca="1" si="671"/>
        <v>0</v>
      </c>
      <c r="Y216" s="160">
        <f t="shared" ca="1" si="672"/>
        <v>0</v>
      </c>
      <c r="Z216" s="160">
        <f t="shared" ca="1" si="686"/>
        <v>0</v>
      </c>
      <c r="AA216" s="160">
        <f t="shared" ca="1" si="673"/>
        <v>0</v>
      </c>
      <c r="AB216" s="160">
        <f t="shared" ca="1" si="674"/>
        <v>0</v>
      </c>
      <c r="AC216" s="119">
        <f t="shared" ca="1" si="675"/>
        <v>0</v>
      </c>
      <c r="AD216" s="115">
        <f t="shared" ca="1" si="723"/>
        <v>-1.3068493150684932</v>
      </c>
      <c r="AE216" s="115">
        <f t="shared" si="724"/>
        <v>20</v>
      </c>
      <c r="AF216" s="115"/>
      <c r="AG216" s="115"/>
      <c r="AH216" s="115">
        <f t="shared" si="508"/>
        <v>0.66249999999999998</v>
      </c>
      <c r="AI216" s="115"/>
      <c r="AJ216" s="115">
        <f t="shared" si="509"/>
        <v>0</v>
      </c>
      <c r="AK216" s="115"/>
      <c r="AL216" s="142"/>
      <c r="AM216" s="153"/>
      <c r="AN216" s="153"/>
      <c r="AO216" s="153"/>
      <c r="AP216" s="153"/>
      <c r="AQ216" s="153"/>
      <c r="AR216" s="153"/>
      <c r="AS216" s="153"/>
      <c r="AT216" s="153"/>
      <c r="AU216" s="153"/>
      <c r="AV216" s="153"/>
      <c r="AW216" s="153"/>
      <c r="AX216" s="153"/>
      <c r="AY216" s="153"/>
      <c r="AZ216" s="153"/>
      <c r="BA216" s="153"/>
      <c r="BB216" s="153"/>
      <c r="BC216" s="153"/>
      <c r="BD216" s="153"/>
      <c r="BE216" s="153"/>
      <c r="BF216" s="153"/>
      <c r="BG216" s="153"/>
      <c r="BS216" s="13">
        <v>2</v>
      </c>
      <c r="BT216" s="123">
        <v>44491</v>
      </c>
      <c r="BU216" s="116" t="s">
        <v>8</v>
      </c>
      <c r="BV216" s="115" t="s">
        <v>482</v>
      </c>
      <c r="BW216" s="116" t="s">
        <v>502</v>
      </c>
      <c r="BX216" s="115">
        <v>18400</v>
      </c>
      <c r="BY216" s="115">
        <v>41.7</v>
      </c>
      <c r="BZ216" s="115">
        <v>47.945</v>
      </c>
      <c r="CA216" s="119">
        <v>-3216.6708800000001</v>
      </c>
      <c r="CB216" s="115">
        <v>1.1497601918465228</v>
      </c>
      <c r="CC216" s="115">
        <v>500</v>
      </c>
      <c r="CD216" s="115">
        <v>50</v>
      </c>
      <c r="CE216" s="119">
        <v>20850</v>
      </c>
    </row>
    <row r="217" spans="1:83" hidden="1">
      <c r="A217" s="13">
        <f t="shared" si="506"/>
        <v>210</v>
      </c>
      <c r="B217" s="123">
        <v>44690</v>
      </c>
      <c r="C217" s="116" t="s">
        <v>8</v>
      </c>
      <c r="D217" s="116">
        <v>1</v>
      </c>
      <c r="E217" s="115" t="s">
        <v>481</v>
      </c>
      <c r="F217" s="116" t="s">
        <v>284</v>
      </c>
      <c r="G217" s="115">
        <v>440</v>
      </c>
      <c r="H217" s="117">
        <v>44707</v>
      </c>
      <c r="I217" s="115">
        <v>1425</v>
      </c>
      <c r="J217" s="115">
        <v>4.6500000000000004</v>
      </c>
      <c r="K217" s="115">
        <v>0.05</v>
      </c>
      <c r="L217" s="119">
        <f t="shared" ref="L217" ca="1" si="725">IF(AND(K217&lt;&gt;0,I217&lt;&gt;0),(IF(C217="B",1,-1))*(K217-J217)*I217-AK217*2,0)*$D217*IF(MONTH($B$2)=MONTH($H217),1,0)</f>
        <v>0</v>
      </c>
      <c r="M217" s="119">
        <f t="shared" ref="M217" si="726">IF(AND(K217&lt;&gt;0,I217&lt;&gt;0),(IF(C217="B",1,-1))*(K217-J217)*I217-AK217*2,0)*$D217</f>
        <v>6555.0000000000009</v>
      </c>
      <c r="N217" s="115">
        <f t="shared" ref="N217" si="727">K217/$J217</f>
        <v>1.075268817204301E-2</v>
      </c>
      <c r="O217" s="156">
        <f t="shared" ref="O217" si="728">J217*(1+$O$6*IF(C217="B",-1,1))</f>
        <v>5.8125</v>
      </c>
      <c r="P217" s="160">
        <f t="shared" si="507"/>
        <v>6626.2500000000009</v>
      </c>
      <c r="Q217" s="160" t="e">
        <f t="shared" ref="Q217" si="729">(W217-J217)*I217*IF(C217="B",1,-1)*IF(K217=0,1,0)</f>
        <v>#N/A</v>
      </c>
      <c r="R217" s="153" t="e">
        <f t="shared" ca="1" si="683"/>
        <v>#VALUE!</v>
      </c>
      <c r="S217" s="119">
        <f t="shared" ref="S217" si="730">(1-$S$6)*J217</f>
        <v>0.46499999999999991</v>
      </c>
      <c r="T217" s="115" t="e">
        <f>VLOOKUP(TRIM($F217),Reference!B:C,2,0)</f>
        <v>#VALUE!</v>
      </c>
      <c r="U217" s="170">
        <f t="shared" ref="U217" ca="1" si="731">AC217</f>
        <v>0</v>
      </c>
      <c r="V217" s="120" t="str">
        <f t="shared" si="670"/>
        <v>TATAMOTORS22MAY440CE</v>
      </c>
      <c r="W217" s="158" t="e">
        <f>VLOOKUP($V217,Reference!BA:BD,4,0)</f>
        <v>#N/A</v>
      </c>
      <c r="X217" s="160">
        <f t="shared" ca="1" si="671"/>
        <v>0</v>
      </c>
      <c r="Y217" s="160">
        <f t="shared" ca="1" si="672"/>
        <v>0</v>
      </c>
      <c r="Z217" s="160">
        <f t="shared" ca="1" si="686"/>
        <v>0</v>
      </c>
      <c r="AA217" s="160">
        <f t="shared" ca="1" si="673"/>
        <v>0</v>
      </c>
      <c r="AB217" s="160">
        <f t="shared" ca="1" si="674"/>
        <v>0</v>
      </c>
      <c r="AC217" s="119">
        <f t="shared" ca="1" si="675"/>
        <v>0</v>
      </c>
      <c r="AD217" s="115">
        <f t="shared" ref="AD217" ca="1" si="732">(H217-TODAY())/365</f>
        <v>-1.3068493150684932</v>
      </c>
      <c r="AE217" s="115">
        <f t="shared" ref="AE217" si="733">IF(I217&lt;&gt;0,20,0)</f>
        <v>20</v>
      </c>
      <c r="AF217" s="115"/>
      <c r="AG217" s="115"/>
      <c r="AH217" s="115">
        <f t="shared" si="508"/>
        <v>3.3131250000000003</v>
      </c>
      <c r="AI217" s="115"/>
      <c r="AJ217" s="115">
        <f t="shared" si="509"/>
        <v>0</v>
      </c>
      <c r="AK217" s="115"/>
      <c r="AL217" s="142"/>
      <c r="AM217" s="153"/>
      <c r="AN217" s="153"/>
      <c r="AO217" s="153"/>
      <c r="AP217" s="153"/>
      <c r="AQ217" s="153"/>
      <c r="AR217" s="153"/>
      <c r="AS217" s="153"/>
      <c r="AT217" s="153"/>
      <c r="AU217" s="153"/>
      <c r="AV217" s="153"/>
      <c r="AW217" s="153"/>
      <c r="AX217" s="153"/>
      <c r="AY217" s="153"/>
      <c r="AZ217" s="153"/>
      <c r="BA217" s="153"/>
      <c r="BB217" s="153"/>
      <c r="BC217" s="153"/>
      <c r="BD217" s="153"/>
      <c r="BE217" s="153"/>
      <c r="BF217" s="153"/>
      <c r="BG217" s="153"/>
      <c r="BS217" s="13">
        <v>2</v>
      </c>
      <c r="BT217" s="123">
        <v>44491</v>
      </c>
      <c r="BU217" s="116" t="s">
        <v>8</v>
      </c>
      <c r="BV217" s="115" t="s">
        <v>482</v>
      </c>
      <c r="BW217" s="116" t="s">
        <v>502</v>
      </c>
      <c r="BX217" s="115">
        <v>18400</v>
      </c>
      <c r="BY217" s="115">
        <v>41.7</v>
      </c>
      <c r="BZ217" s="115">
        <v>47.945</v>
      </c>
      <c r="CA217" s="119">
        <v>-3216.6708800000001</v>
      </c>
      <c r="CB217" s="115">
        <v>1.1497601918465228</v>
      </c>
      <c r="CC217" s="115">
        <v>500</v>
      </c>
      <c r="CD217" s="115">
        <v>50</v>
      </c>
      <c r="CE217" s="119">
        <v>20850</v>
      </c>
    </row>
    <row r="218" spans="1:83" hidden="1">
      <c r="A218" s="13">
        <f t="shared" si="506"/>
        <v>211</v>
      </c>
      <c r="B218" s="123">
        <v>44691</v>
      </c>
      <c r="C218" s="116" t="s">
        <v>6</v>
      </c>
      <c r="D218" s="116">
        <v>1</v>
      </c>
      <c r="E218" s="115" t="s">
        <v>632</v>
      </c>
      <c r="F218" s="116" t="s">
        <v>681</v>
      </c>
      <c r="G218" s="115"/>
      <c r="H218" s="117">
        <v>44707</v>
      </c>
      <c r="I218" s="115">
        <v>1600</v>
      </c>
      <c r="J218" s="115">
        <v>418</v>
      </c>
      <c r="K218" s="115">
        <v>392.1</v>
      </c>
      <c r="L218" s="119">
        <f t="shared" ref="L218:L219" ca="1" si="734">IF(AND(K218&lt;&gt;0,I218&lt;&gt;0),(IF(C218="B",1,-1))*(K218-J218)*I218-AK218*2,0)*$D218*IF(MONTH($B$2)=MONTH($H218),1,0)</f>
        <v>0</v>
      </c>
      <c r="M218" s="119">
        <f t="shared" ref="M218:M219" si="735">IF(AND(K218&lt;&gt;0,I218&lt;&gt;0),(IF(C218="B",1,-1))*(K218-J218)*I218-AK218*2,0)*$D218</f>
        <v>-41439.999999999964</v>
      </c>
      <c r="N218" s="115">
        <f t="shared" ref="N218:N219" si="736">K218/$J218</f>
        <v>0.93803827751196178</v>
      </c>
      <c r="O218" s="156">
        <f t="shared" ref="O218:O219" si="737">J218*(1+$O$6*IF(C218="B",-1,1))</f>
        <v>313.5</v>
      </c>
      <c r="P218" s="160">
        <f t="shared" si="507"/>
        <v>668800</v>
      </c>
      <c r="Q218" s="160" t="e">
        <f t="shared" ref="Q218:Q219" si="738">(W218-J218)*I218*IF(C218="B",1,-1)*IF(K218=0,1,0)</f>
        <v>#N/A</v>
      </c>
      <c r="R218" s="153" t="e">
        <f t="shared" ca="1" si="683"/>
        <v>#VALUE!</v>
      </c>
      <c r="S218" s="119">
        <f t="shared" ref="S218:S219" si="739">(1-$S$6)*J218</f>
        <v>41.79999999999999</v>
      </c>
      <c r="T218" s="115" t="e">
        <f>VLOOKUP(TRIM($F218),Reference!B:C,2,0)</f>
        <v>#VALUE!</v>
      </c>
      <c r="U218" s="170">
        <f t="shared" ref="U218:U219" ca="1" si="740">AC218</f>
        <v>0</v>
      </c>
      <c r="V218" s="120" t="str">
        <f t="shared" si="670"/>
        <v>BALRAMCHIN22MAYFUT</v>
      </c>
      <c r="W218" s="158" t="e">
        <f>VLOOKUP($V218,Reference!BA:BD,4,0)</f>
        <v>#N/A</v>
      </c>
      <c r="X218" s="160">
        <f t="shared" ca="1" si="671"/>
        <v>0</v>
      </c>
      <c r="Y218" s="160">
        <f t="shared" ca="1" si="672"/>
        <v>0</v>
      </c>
      <c r="Z218" s="160">
        <f t="shared" ca="1" si="686"/>
        <v>0</v>
      </c>
      <c r="AA218" s="160">
        <f t="shared" ca="1" si="673"/>
        <v>0</v>
      </c>
      <c r="AB218" s="160">
        <f t="shared" ca="1" si="674"/>
        <v>0</v>
      </c>
      <c r="AC218" s="119">
        <f t="shared" ca="1" si="675"/>
        <v>0</v>
      </c>
      <c r="AD218" s="115">
        <f t="shared" ref="AD218:AD219" ca="1" si="741">(H218-TODAY())/365</f>
        <v>-1.3068493150684932</v>
      </c>
      <c r="AE218" s="115">
        <f t="shared" ref="AE218:AE219" si="742">IF(I218&lt;&gt;0,20,0)</f>
        <v>20</v>
      </c>
      <c r="AF218" s="115"/>
      <c r="AG218" s="115"/>
      <c r="AH218" s="115">
        <f t="shared" si="508"/>
        <v>0</v>
      </c>
      <c r="AI218" s="115"/>
      <c r="AJ218" s="115">
        <f t="shared" si="509"/>
        <v>20.064</v>
      </c>
      <c r="AK218" s="115"/>
      <c r="AL218" s="142"/>
      <c r="AM218" s="153"/>
      <c r="AN218" s="153"/>
      <c r="AO218" s="153"/>
      <c r="AP218" s="153"/>
      <c r="AQ218" s="153"/>
      <c r="AR218" s="153"/>
      <c r="AS218" s="153"/>
      <c r="AT218" s="153"/>
      <c r="AU218" s="153"/>
      <c r="AV218" s="153"/>
      <c r="AW218" s="153"/>
      <c r="AX218" s="153"/>
      <c r="AY218" s="153"/>
      <c r="AZ218" s="153"/>
      <c r="BA218" s="153"/>
      <c r="BB218" s="153"/>
      <c r="BC218" s="153"/>
      <c r="BD218" s="153"/>
      <c r="BE218" s="153"/>
      <c r="BF218" s="153"/>
      <c r="BG218" s="153"/>
      <c r="BS218" s="13">
        <v>2</v>
      </c>
      <c r="BT218" s="123">
        <v>44491</v>
      </c>
      <c r="BU218" s="116" t="s">
        <v>8</v>
      </c>
      <c r="BV218" s="115" t="s">
        <v>482</v>
      </c>
      <c r="BW218" s="116" t="s">
        <v>502</v>
      </c>
      <c r="BX218" s="115">
        <v>18400</v>
      </c>
      <c r="BY218" s="115">
        <v>41.7</v>
      </c>
      <c r="BZ218" s="115">
        <v>47.945</v>
      </c>
      <c r="CA218" s="119">
        <v>-3216.6708800000001</v>
      </c>
      <c r="CB218" s="115">
        <v>1.1497601918465228</v>
      </c>
      <c r="CC218" s="115">
        <v>500</v>
      </c>
      <c r="CD218" s="115">
        <v>50</v>
      </c>
      <c r="CE218" s="119">
        <v>20850</v>
      </c>
    </row>
    <row r="219" spans="1:83" hidden="1">
      <c r="A219" s="13">
        <f t="shared" si="506"/>
        <v>212</v>
      </c>
      <c r="B219" s="123">
        <v>44691</v>
      </c>
      <c r="C219" s="116" t="s">
        <v>8</v>
      </c>
      <c r="D219" s="116">
        <v>1</v>
      </c>
      <c r="E219" s="115" t="s">
        <v>481</v>
      </c>
      <c r="F219" s="116" t="s">
        <v>681</v>
      </c>
      <c r="G219" s="115">
        <v>430</v>
      </c>
      <c r="H219" s="117">
        <v>44707</v>
      </c>
      <c r="I219" s="115">
        <v>1600</v>
      </c>
      <c r="J219" s="115">
        <v>11.1</v>
      </c>
      <c r="K219" s="115">
        <v>5.22</v>
      </c>
      <c r="L219" s="119">
        <f t="shared" ca="1" si="734"/>
        <v>0</v>
      </c>
      <c r="M219" s="119">
        <f t="shared" si="735"/>
        <v>9408</v>
      </c>
      <c r="N219" s="115">
        <f t="shared" si="736"/>
        <v>0.47027027027027024</v>
      </c>
      <c r="O219" s="156">
        <f t="shared" si="737"/>
        <v>13.875</v>
      </c>
      <c r="P219" s="160">
        <f t="shared" si="507"/>
        <v>17760</v>
      </c>
      <c r="Q219" s="160" t="e">
        <f t="shared" si="738"/>
        <v>#N/A</v>
      </c>
      <c r="R219" s="153" t="e">
        <f t="shared" ca="1" si="683"/>
        <v>#VALUE!</v>
      </c>
      <c r="S219" s="119">
        <f t="shared" si="739"/>
        <v>1.1099999999999997</v>
      </c>
      <c r="T219" s="115" t="e">
        <f>VLOOKUP(TRIM($F219),Reference!B:C,2,0)</f>
        <v>#VALUE!</v>
      </c>
      <c r="U219" s="170">
        <f t="shared" ca="1" si="740"/>
        <v>0</v>
      </c>
      <c r="V219" s="120" t="str">
        <f t="shared" si="670"/>
        <v>BALRAMCHIN22MAY430CE</v>
      </c>
      <c r="W219" s="158" t="e">
        <f>VLOOKUP($V219,Reference!BA:BD,4,0)</f>
        <v>#N/A</v>
      </c>
      <c r="X219" s="160">
        <f t="shared" ca="1" si="671"/>
        <v>0</v>
      </c>
      <c r="Y219" s="160">
        <f t="shared" ca="1" si="672"/>
        <v>0</v>
      </c>
      <c r="Z219" s="160">
        <f t="shared" ca="1" si="686"/>
        <v>0</v>
      </c>
      <c r="AA219" s="160">
        <f t="shared" ca="1" si="673"/>
        <v>0</v>
      </c>
      <c r="AB219" s="160">
        <f t="shared" ca="1" si="674"/>
        <v>0</v>
      </c>
      <c r="AC219" s="119">
        <f t="shared" ca="1" si="675"/>
        <v>0</v>
      </c>
      <c r="AD219" s="115">
        <f t="shared" ca="1" si="741"/>
        <v>-1.3068493150684932</v>
      </c>
      <c r="AE219" s="115">
        <f t="shared" si="742"/>
        <v>20</v>
      </c>
      <c r="AF219" s="115"/>
      <c r="AG219" s="115"/>
      <c r="AH219" s="115">
        <f t="shared" si="508"/>
        <v>8.8800000000000008</v>
      </c>
      <c r="AI219" s="115"/>
      <c r="AJ219" s="115">
        <f t="shared" si="509"/>
        <v>0</v>
      </c>
      <c r="AK219" s="115"/>
      <c r="AL219" s="142"/>
      <c r="AM219" s="153"/>
      <c r="AN219" s="153"/>
      <c r="AO219" s="153"/>
      <c r="AP219" s="153"/>
      <c r="AQ219" s="153"/>
      <c r="AR219" s="153"/>
      <c r="AS219" s="153"/>
      <c r="AT219" s="153"/>
      <c r="AU219" s="153"/>
      <c r="AV219" s="153"/>
      <c r="AW219" s="153"/>
      <c r="AX219" s="153"/>
      <c r="AY219" s="153"/>
      <c r="AZ219" s="153"/>
      <c r="BA219" s="153"/>
      <c r="BB219" s="153"/>
      <c r="BC219" s="153"/>
      <c r="BD219" s="153"/>
      <c r="BE219" s="153"/>
      <c r="BF219" s="153"/>
      <c r="BG219" s="153"/>
      <c r="BS219" s="13">
        <v>2</v>
      </c>
      <c r="BT219" s="123">
        <v>44491</v>
      </c>
      <c r="BU219" s="116" t="s">
        <v>8</v>
      </c>
      <c r="BV219" s="115" t="s">
        <v>482</v>
      </c>
      <c r="BW219" s="116" t="s">
        <v>502</v>
      </c>
      <c r="BX219" s="115">
        <v>18400</v>
      </c>
      <c r="BY219" s="115">
        <v>41.7</v>
      </c>
      <c r="BZ219" s="115">
        <v>47.945</v>
      </c>
      <c r="CA219" s="119">
        <v>-3216.6708800000001</v>
      </c>
      <c r="CB219" s="115">
        <v>1.1497601918465228</v>
      </c>
      <c r="CC219" s="115">
        <v>500</v>
      </c>
      <c r="CD219" s="115">
        <v>50</v>
      </c>
      <c r="CE219" s="119">
        <v>20850</v>
      </c>
    </row>
    <row r="220" spans="1:83" hidden="1">
      <c r="A220" s="13">
        <f t="shared" si="506"/>
        <v>213</v>
      </c>
      <c r="B220" s="123">
        <v>44691</v>
      </c>
      <c r="C220" s="116" t="s">
        <v>8</v>
      </c>
      <c r="D220" s="116">
        <v>1</v>
      </c>
      <c r="E220" s="115" t="s">
        <v>481</v>
      </c>
      <c r="F220" s="116" t="s">
        <v>681</v>
      </c>
      <c r="G220" s="115">
        <v>430</v>
      </c>
      <c r="H220" s="117">
        <v>44707</v>
      </c>
      <c r="I220" s="115">
        <v>1600</v>
      </c>
      <c r="J220" s="115">
        <v>10.4</v>
      </c>
      <c r="K220" s="115">
        <v>5.22</v>
      </c>
      <c r="L220" s="119">
        <f t="shared" ref="L220:L231" ca="1" si="743">IF(AND(K220&lt;&gt;0,I220&lt;&gt;0),(IF(C220="B",1,-1))*(K220-J220)*I220-AK220*2,0)*$D220*IF(MONTH($B$2)=MONTH($H220),1,0)</f>
        <v>0</v>
      </c>
      <c r="M220" s="119">
        <f t="shared" ref="M220:M231" si="744">IF(AND(K220&lt;&gt;0,I220&lt;&gt;0),(IF(C220="B",1,-1))*(K220-J220)*I220-AK220*2,0)*$D220</f>
        <v>8288.0000000000018</v>
      </c>
      <c r="N220" s="115">
        <f t="shared" ref="N220:N231" si="745">K220/$J220</f>
        <v>0.50192307692307692</v>
      </c>
      <c r="O220" s="156">
        <f t="shared" ref="O220:O231" si="746">J220*(1+$O$6*IF(C220="B",-1,1))</f>
        <v>13</v>
      </c>
      <c r="P220" s="160">
        <f t="shared" si="507"/>
        <v>16640</v>
      </c>
      <c r="Q220" s="160" t="e">
        <f t="shared" ref="Q220:Q223" si="747">(W220-J220)*I220*IF(C220="B",1,-1)*IF(K220=0,1,0)</f>
        <v>#N/A</v>
      </c>
      <c r="R220" s="153" t="e">
        <f t="shared" ca="1" si="683"/>
        <v>#VALUE!</v>
      </c>
      <c r="S220" s="119">
        <f t="shared" ref="S220:S231" si="748">(1-$S$6)*J220</f>
        <v>1.0399999999999998</v>
      </c>
      <c r="T220" s="115" t="e">
        <f>VLOOKUP(TRIM($F220),Reference!B:C,2,0)</f>
        <v>#VALUE!</v>
      </c>
      <c r="U220" s="170">
        <f t="shared" ref="U220:U231" ca="1" si="749">AC220</f>
        <v>0</v>
      </c>
      <c r="V220" s="120" t="str">
        <f t="shared" si="670"/>
        <v>BALRAMCHIN22MAY430CE</v>
      </c>
      <c r="W220" s="158" t="e">
        <f>VLOOKUP($V220,Reference!BA:BD,4,0)</f>
        <v>#N/A</v>
      </c>
      <c r="X220" s="160">
        <f t="shared" ca="1" si="671"/>
        <v>0</v>
      </c>
      <c r="Y220" s="160">
        <f t="shared" ca="1" si="672"/>
        <v>0</v>
      </c>
      <c r="Z220" s="160">
        <f t="shared" ca="1" si="686"/>
        <v>0</v>
      </c>
      <c r="AA220" s="160">
        <f t="shared" ca="1" si="673"/>
        <v>0</v>
      </c>
      <c r="AB220" s="160">
        <f t="shared" ca="1" si="674"/>
        <v>0</v>
      </c>
      <c r="AC220" s="119">
        <f t="shared" ca="1" si="675"/>
        <v>0</v>
      </c>
      <c r="AD220" s="115">
        <f t="shared" ref="AD220:AD231" ca="1" si="750">(H220-TODAY())/365</f>
        <v>-1.3068493150684932</v>
      </c>
      <c r="AE220" s="115">
        <f t="shared" ref="AE220:AE231" si="751">IF(I220&lt;&gt;0,20,0)</f>
        <v>20</v>
      </c>
      <c r="AF220" s="115"/>
      <c r="AG220" s="115"/>
      <c r="AH220" s="115">
        <f t="shared" si="508"/>
        <v>8.32</v>
      </c>
      <c r="AI220" s="115"/>
      <c r="AJ220" s="115">
        <f t="shared" si="509"/>
        <v>0</v>
      </c>
      <c r="AK220" s="115"/>
      <c r="AL220" s="142"/>
      <c r="AM220" s="153"/>
      <c r="AN220" s="153"/>
      <c r="AO220" s="153"/>
      <c r="AP220" s="153"/>
      <c r="AQ220" s="153"/>
      <c r="AR220" s="153"/>
      <c r="AS220" s="153"/>
      <c r="AT220" s="153"/>
      <c r="AU220" s="153"/>
      <c r="AV220" s="153"/>
      <c r="AW220" s="153"/>
      <c r="AX220" s="153"/>
      <c r="AY220" s="153"/>
      <c r="AZ220" s="153"/>
      <c r="BA220" s="153"/>
      <c r="BB220" s="153"/>
      <c r="BC220" s="153"/>
      <c r="BD220" s="153"/>
      <c r="BE220" s="153"/>
      <c r="BF220" s="153"/>
      <c r="BG220" s="153"/>
      <c r="BS220" s="13">
        <v>2</v>
      </c>
      <c r="BT220" s="123">
        <v>44491</v>
      </c>
      <c r="BU220" s="116" t="s">
        <v>8</v>
      </c>
      <c r="BV220" s="115" t="s">
        <v>482</v>
      </c>
      <c r="BW220" s="116" t="s">
        <v>502</v>
      </c>
      <c r="BX220" s="115">
        <v>18400</v>
      </c>
      <c r="BY220" s="115">
        <v>41.7</v>
      </c>
      <c r="BZ220" s="115">
        <v>47.945</v>
      </c>
      <c r="CA220" s="119">
        <v>-3216.6708800000001</v>
      </c>
      <c r="CB220" s="115">
        <v>1.1497601918465228</v>
      </c>
      <c r="CC220" s="115">
        <v>500</v>
      </c>
      <c r="CD220" s="115">
        <v>50</v>
      </c>
      <c r="CE220" s="119">
        <v>20850</v>
      </c>
    </row>
    <row r="221" spans="1:83" hidden="1">
      <c r="A221" s="13">
        <f t="shared" si="506"/>
        <v>214</v>
      </c>
      <c r="B221" s="123">
        <v>44691</v>
      </c>
      <c r="C221" s="116" t="s">
        <v>8</v>
      </c>
      <c r="D221" s="116">
        <v>1</v>
      </c>
      <c r="E221" s="115" t="s">
        <v>481</v>
      </c>
      <c r="F221" s="116" t="s">
        <v>681</v>
      </c>
      <c r="G221" s="115">
        <v>430</v>
      </c>
      <c r="H221" s="117">
        <v>44707</v>
      </c>
      <c r="I221" s="115">
        <v>1600</v>
      </c>
      <c r="J221" s="115">
        <v>8.1</v>
      </c>
      <c r="K221" s="115">
        <v>5.22</v>
      </c>
      <c r="L221" s="119">
        <f t="shared" ca="1" si="743"/>
        <v>0</v>
      </c>
      <c r="M221" s="119">
        <f t="shared" si="744"/>
        <v>4608</v>
      </c>
      <c r="N221" s="115">
        <f t="shared" si="745"/>
        <v>0.64444444444444449</v>
      </c>
      <c r="O221" s="156">
        <f t="shared" si="746"/>
        <v>10.125</v>
      </c>
      <c r="P221" s="160">
        <f t="shared" si="507"/>
        <v>12960</v>
      </c>
      <c r="Q221" s="160" t="e">
        <f t="shared" si="747"/>
        <v>#N/A</v>
      </c>
      <c r="R221" s="153" t="e">
        <f t="shared" ca="1" si="683"/>
        <v>#VALUE!</v>
      </c>
      <c r="S221" s="119">
        <f t="shared" si="748"/>
        <v>0.80999999999999983</v>
      </c>
      <c r="T221" s="115" t="e">
        <f>VLOOKUP(TRIM($F221),Reference!B:C,2,0)</f>
        <v>#VALUE!</v>
      </c>
      <c r="U221" s="170">
        <f t="shared" ca="1" si="749"/>
        <v>0</v>
      </c>
      <c r="V221" s="120" t="str">
        <f t="shared" si="670"/>
        <v>BALRAMCHIN22MAY430CE</v>
      </c>
      <c r="W221" s="158" t="e">
        <f>VLOOKUP($V221,Reference!BA:BD,4,0)</f>
        <v>#N/A</v>
      </c>
      <c r="X221" s="160">
        <f t="shared" ca="1" si="671"/>
        <v>0</v>
      </c>
      <c r="Y221" s="160">
        <f t="shared" ca="1" si="672"/>
        <v>0</v>
      </c>
      <c r="Z221" s="160">
        <f t="shared" ca="1" si="686"/>
        <v>0</v>
      </c>
      <c r="AA221" s="160">
        <f t="shared" ca="1" si="673"/>
        <v>0</v>
      </c>
      <c r="AB221" s="160">
        <f t="shared" ca="1" si="674"/>
        <v>0</v>
      </c>
      <c r="AC221" s="119">
        <f t="shared" ca="1" si="675"/>
        <v>0</v>
      </c>
      <c r="AD221" s="115">
        <f t="shared" ca="1" si="750"/>
        <v>-1.3068493150684932</v>
      </c>
      <c r="AE221" s="115">
        <f t="shared" si="751"/>
        <v>20</v>
      </c>
      <c r="AF221" s="115"/>
      <c r="AG221" s="115"/>
      <c r="AH221" s="115">
        <f t="shared" si="508"/>
        <v>6.48</v>
      </c>
      <c r="AI221" s="115"/>
      <c r="AJ221" s="115">
        <f t="shared" si="509"/>
        <v>0</v>
      </c>
      <c r="AK221" s="115"/>
      <c r="AL221" s="142"/>
      <c r="AM221" s="153"/>
      <c r="AN221" s="153"/>
      <c r="AO221" s="153"/>
      <c r="AP221" s="153"/>
      <c r="AQ221" s="153"/>
      <c r="AR221" s="153"/>
      <c r="AS221" s="153"/>
      <c r="AT221" s="153"/>
      <c r="AU221" s="153"/>
      <c r="AV221" s="153"/>
      <c r="AW221" s="153"/>
      <c r="AX221" s="153"/>
      <c r="AY221" s="153"/>
      <c r="AZ221" s="153"/>
      <c r="BA221" s="153"/>
      <c r="BB221" s="153"/>
      <c r="BC221" s="153"/>
      <c r="BD221" s="153"/>
      <c r="BE221" s="153"/>
      <c r="BF221" s="153"/>
      <c r="BG221" s="153"/>
      <c r="BS221" s="13">
        <v>2</v>
      </c>
      <c r="BT221" s="123">
        <v>44491</v>
      </c>
      <c r="BU221" s="116" t="s">
        <v>8</v>
      </c>
      <c r="BV221" s="115" t="s">
        <v>482</v>
      </c>
      <c r="BW221" s="116" t="s">
        <v>502</v>
      </c>
      <c r="BX221" s="115">
        <v>18400</v>
      </c>
      <c r="BY221" s="115">
        <v>41.7</v>
      </c>
      <c r="BZ221" s="115">
        <v>47.945</v>
      </c>
      <c r="CA221" s="119">
        <v>-3216.6708800000001</v>
      </c>
      <c r="CB221" s="115">
        <v>1.1497601918465228</v>
      </c>
      <c r="CC221" s="115">
        <v>500</v>
      </c>
      <c r="CD221" s="115">
        <v>50</v>
      </c>
      <c r="CE221" s="119">
        <v>20850</v>
      </c>
    </row>
    <row r="222" spans="1:83" hidden="1">
      <c r="A222" s="13">
        <f t="shared" si="506"/>
        <v>215</v>
      </c>
      <c r="B222" s="123">
        <v>44692</v>
      </c>
      <c r="C222" s="116" t="s">
        <v>6</v>
      </c>
      <c r="D222" s="116">
        <v>1</v>
      </c>
      <c r="E222" s="115" t="s">
        <v>632</v>
      </c>
      <c r="F222" s="116" t="s">
        <v>284</v>
      </c>
      <c r="G222" s="115"/>
      <c r="H222" s="117">
        <v>44707</v>
      </c>
      <c r="I222" s="115">
        <v>1425</v>
      </c>
      <c r="J222" s="115">
        <v>394.2</v>
      </c>
      <c r="K222" s="115">
        <v>406</v>
      </c>
      <c r="L222" s="119">
        <f t="shared" ca="1" si="743"/>
        <v>0</v>
      </c>
      <c r="M222" s="119">
        <f t="shared" si="744"/>
        <v>16815.000000000015</v>
      </c>
      <c r="N222" s="115">
        <f t="shared" si="745"/>
        <v>1.0299340436326738</v>
      </c>
      <c r="O222" s="156">
        <f t="shared" si="746"/>
        <v>295.64999999999998</v>
      </c>
      <c r="P222" s="160">
        <f t="shared" si="507"/>
        <v>561735</v>
      </c>
      <c r="Q222" s="160" t="e">
        <f t="shared" si="747"/>
        <v>#N/A</v>
      </c>
      <c r="R222" s="153" t="e">
        <f t="shared" ca="1" si="683"/>
        <v>#VALUE!</v>
      </c>
      <c r="S222" s="119">
        <f t="shared" si="748"/>
        <v>39.419999999999987</v>
      </c>
      <c r="T222" s="115" t="e">
        <f>VLOOKUP(TRIM($F222),Reference!B:C,2,0)</f>
        <v>#VALUE!</v>
      </c>
      <c r="U222" s="170">
        <f t="shared" ca="1" si="749"/>
        <v>0</v>
      </c>
      <c r="V222" s="120" t="str">
        <f t="shared" si="670"/>
        <v>TATAMOTORS22MAYFUT</v>
      </c>
      <c r="W222" s="158" t="e">
        <f>VLOOKUP($V222,Reference!BA:BD,4,0)</f>
        <v>#N/A</v>
      </c>
      <c r="X222" s="160">
        <f t="shared" ca="1" si="671"/>
        <v>0</v>
      </c>
      <c r="Y222" s="160">
        <f t="shared" ca="1" si="672"/>
        <v>0</v>
      </c>
      <c r="Z222" s="160">
        <f t="shared" ca="1" si="686"/>
        <v>0</v>
      </c>
      <c r="AA222" s="160">
        <f t="shared" ca="1" si="673"/>
        <v>0</v>
      </c>
      <c r="AB222" s="160">
        <f t="shared" ca="1" si="674"/>
        <v>0</v>
      </c>
      <c r="AC222" s="119">
        <f t="shared" ca="1" si="675"/>
        <v>0</v>
      </c>
      <c r="AD222" s="115">
        <f t="shared" ca="1" si="750"/>
        <v>-1.3068493150684932</v>
      </c>
      <c r="AE222" s="115">
        <f t="shared" si="751"/>
        <v>20</v>
      </c>
      <c r="AF222" s="115"/>
      <c r="AG222" s="115"/>
      <c r="AH222" s="115">
        <f t="shared" si="508"/>
        <v>0</v>
      </c>
      <c r="AI222" s="115"/>
      <c r="AJ222" s="115">
        <f t="shared" si="509"/>
        <v>16.852050000000002</v>
      </c>
      <c r="AK222" s="115"/>
      <c r="AL222" s="142"/>
      <c r="AM222" s="153"/>
      <c r="AN222" s="153"/>
      <c r="AO222" s="153"/>
      <c r="AP222" s="153"/>
      <c r="AQ222" s="153"/>
      <c r="AR222" s="153"/>
      <c r="AS222" s="153"/>
      <c r="AT222" s="153"/>
      <c r="AU222" s="153"/>
      <c r="AV222" s="153"/>
      <c r="AW222" s="153"/>
      <c r="AX222" s="153"/>
      <c r="AY222" s="153"/>
      <c r="AZ222" s="153"/>
      <c r="BA222" s="153"/>
      <c r="BB222" s="153"/>
      <c r="BC222" s="153"/>
      <c r="BD222" s="153"/>
      <c r="BE222" s="153"/>
      <c r="BF222" s="153"/>
      <c r="BG222" s="153"/>
      <c r="BS222" s="13">
        <v>2</v>
      </c>
      <c r="BT222" s="123">
        <v>44491</v>
      </c>
      <c r="BU222" s="116" t="s">
        <v>8</v>
      </c>
      <c r="BV222" s="115" t="s">
        <v>482</v>
      </c>
      <c r="BW222" s="116" t="s">
        <v>502</v>
      </c>
      <c r="BX222" s="115">
        <v>18400</v>
      </c>
      <c r="BY222" s="115">
        <v>41.7</v>
      </c>
      <c r="BZ222" s="115">
        <v>47.945</v>
      </c>
      <c r="CA222" s="119">
        <v>-3216.6708800000001</v>
      </c>
      <c r="CB222" s="115">
        <v>1.1497601918465228</v>
      </c>
      <c r="CC222" s="115">
        <v>500</v>
      </c>
      <c r="CD222" s="115">
        <v>50</v>
      </c>
      <c r="CE222" s="119">
        <v>20850</v>
      </c>
    </row>
    <row r="223" spans="1:83" hidden="1">
      <c r="A223" s="13">
        <f t="shared" si="506"/>
        <v>216</v>
      </c>
      <c r="B223" s="123">
        <v>44692</v>
      </c>
      <c r="C223" s="116" t="s">
        <v>8</v>
      </c>
      <c r="D223" s="116">
        <v>1</v>
      </c>
      <c r="E223" s="115" t="s">
        <v>481</v>
      </c>
      <c r="F223" s="116" t="s">
        <v>130</v>
      </c>
      <c r="G223" s="115">
        <v>240</v>
      </c>
      <c r="H223" s="117">
        <v>44707</v>
      </c>
      <c r="I223" s="115">
        <v>3375</v>
      </c>
      <c r="J223" s="115">
        <v>3.1</v>
      </c>
      <c r="K223" s="115">
        <v>0.1</v>
      </c>
      <c r="L223" s="119">
        <f t="shared" ca="1" si="743"/>
        <v>0</v>
      </c>
      <c r="M223" s="119">
        <f t="shared" si="744"/>
        <v>10125</v>
      </c>
      <c r="N223" s="115">
        <f t="shared" si="745"/>
        <v>3.2258064516129031E-2</v>
      </c>
      <c r="O223" s="156">
        <f t="shared" si="746"/>
        <v>3.875</v>
      </c>
      <c r="P223" s="160">
        <f t="shared" si="507"/>
        <v>10462.5</v>
      </c>
      <c r="Q223" s="160" t="e">
        <f t="shared" si="747"/>
        <v>#N/A</v>
      </c>
      <c r="R223" s="153" t="e">
        <f t="shared" ca="1" si="683"/>
        <v>#VALUE!</v>
      </c>
      <c r="S223" s="119">
        <f t="shared" si="748"/>
        <v>0.30999999999999994</v>
      </c>
      <c r="T223" s="115" t="e">
        <f>VLOOKUP(TRIM($F223),Reference!B:C,2,0)</f>
        <v>#VALUE!</v>
      </c>
      <c r="U223" s="170">
        <f t="shared" ca="1" si="749"/>
        <v>0</v>
      </c>
      <c r="V223" s="120" t="str">
        <f t="shared" si="670"/>
        <v>TATAPOWER22MAY240CE</v>
      </c>
      <c r="W223" s="158" t="e">
        <f>VLOOKUP($V223,Reference!BA:BD,4,0)</f>
        <v>#N/A</v>
      </c>
      <c r="X223" s="160">
        <f t="shared" ca="1" si="671"/>
        <v>0</v>
      </c>
      <c r="Y223" s="160">
        <f t="shared" ca="1" si="672"/>
        <v>0</v>
      </c>
      <c r="Z223" s="160">
        <f t="shared" ca="1" si="686"/>
        <v>0</v>
      </c>
      <c r="AA223" s="160">
        <f t="shared" ca="1" si="673"/>
        <v>0</v>
      </c>
      <c r="AB223" s="160">
        <f t="shared" ca="1" si="674"/>
        <v>0</v>
      </c>
      <c r="AC223" s="119">
        <f t="shared" ca="1" si="675"/>
        <v>0</v>
      </c>
      <c r="AD223" s="115">
        <f t="shared" ca="1" si="750"/>
        <v>-1.3068493150684932</v>
      </c>
      <c r="AE223" s="115">
        <f t="shared" si="751"/>
        <v>20</v>
      </c>
      <c r="AF223" s="115"/>
      <c r="AG223" s="115"/>
      <c r="AH223" s="115">
        <f t="shared" si="508"/>
        <v>5.2312500000000002</v>
      </c>
      <c r="AI223" s="115"/>
      <c r="AJ223" s="115">
        <f t="shared" si="509"/>
        <v>0</v>
      </c>
      <c r="AK223" s="115"/>
      <c r="AL223" s="142"/>
      <c r="AM223" s="153"/>
      <c r="AN223" s="153"/>
      <c r="AO223" s="153"/>
      <c r="AP223" s="153"/>
      <c r="AQ223" s="153"/>
      <c r="AR223" s="153"/>
      <c r="AS223" s="153"/>
      <c r="AT223" s="153"/>
      <c r="AU223" s="153"/>
      <c r="AV223" s="153"/>
      <c r="AW223" s="153"/>
      <c r="AX223" s="153"/>
      <c r="AY223" s="153"/>
      <c r="AZ223" s="153"/>
      <c r="BA223" s="153"/>
      <c r="BB223" s="153"/>
      <c r="BC223" s="153"/>
      <c r="BD223" s="153"/>
      <c r="BE223" s="153"/>
      <c r="BF223" s="153"/>
      <c r="BG223" s="153"/>
      <c r="BS223" s="13">
        <v>2</v>
      </c>
      <c r="BT223" s="123">
        <v>44491</v>
      </c>
      <c r="BU223" s="116" t="s">
        <v>8</v>
      </c>
      <c r="BV223" s="115" t="s">
        <v>482</v>
      </c>
      <c r="BW223" s="116" t="s">
        <v>502</v>
      </c>
      <c r="BX223" s="115">
        <v>18400</v>
      </c>
      <c r="BY223" s="115">
        <v>41.7</v>
      </c>
      <c r="BZ223" s="115">
        <v>47.945</v>
      </c>
      <c r="CA223" s="119">
        <v>-3216.6708800000001</v>
      </c>
      <c r="CB223" s="115">
        <v>1.1497601918465228</v>
      </c>
      <c r="CC223" s="115">
        <v>500</v>
      </c>
      <c r="CD223" s="115">
        <v>50</v>
      </c>
      <c r="CE223" s="119">
        <v>20850</v>
      </c>
    </row>
    <row r="224" spans="1:83" hidden="1">
      <c r="A224" s="13">
        <f t="shared" si="506"/>
        <v>217</v>
      </c>
      <c r="B224" s="123">
        <v>44692</v>
      </c>
      <c r="C224" s="116" t="s">
        <v>8</v>
      </c>
      <c r="D224" s="116">
        <v>1</v>
      </c>
      <c r="E224" s="115" t="s">
        <v>481</v>
      </c>
      <c r="F224" s="116" t="s">
        <v>126</v>
      </c>
      <c r="G224" s="115">
        <v>210</v>
      </c>
      <c r="H224" s="117">
        <v>44707</v>
      </c>
      <c r="I224" s="115">
        <v>3750</v>
      </c>
      <c r="J224" s="115">
        <v>2.1</v>
      </c>
      <c r="K224" s="115">
        <v>0.05</v>
      </c>
      <c r="L224" s="119">
        <f t="shared" ca="1" si="743"/>
        <v>0</v>
      </c>
      <c r="M224" s="119">
        <f t="shared" si="744"/>
        <v>7687.5000000000009</v>
      </c>
      <c r="N224" s="115">
        <f t="shared" si="745"/>
        <v>2.3809523809523808E-2</v>
      </c>
      <c r="O224" s="156">
        <f t="shared" si="746"/>
        <v>2.625</v>
      </c>
      <c r="P224" s="160">
        <f t="shared" si="507"/>
        <v>7875</v>
      </c>
      <c r="Q224" s="160" t="e">
        <f>(W224-J224)*I224*IF(C224="B",1,-1)*IF(K224=0,1,0)</f>
        <v>#N/A</v>
      </c>
      <c r="R224" s="153" t="e">
        <f t="shared" ca="1" si="683"/>
        <v>#VALUE!</v>
      </c>
      <c r="S224" s="119">
        <f t="shared" si="748"/>
        <v>0.20999999999999996</v>
      </c>
      <c r="T224" s="115" t="e">
        <f>VLOOKUP(TRIM($F224),Reference!B:C,2,0)</f>
        <v>#VALUE!</v>
      </c>
      <c r="U224" s="170">
        <f t="shared" ca="1" si="749"/>
        <v>0</v>
      </c>
      <c r="V224" s="120" t="str">
        <f t="shared" si="670"/>
        <v>IEX22MAY210CE</v>
      </c>
      <c r="W224" s="158" t="e">
        <f>VLOOKUP($V224,Reference!BA:BD,4,0)</f>
        <v>#N/A</v>
      </c>
      <c r="X224" s="160">
        <f t="shared" ca="1" si="671"/>
        <v>0</v>
      </c>
      <c r="Y224" s="160">
        <f t="shared" ca="1" si="672"/>
        <v>0</v>
      </c>
      <c r="Z224" s="160">
        <f t="shared" ca="1" si="686"/>
        <v>0</v>
      </c>
      <c r="AA224" s="160">
        <f t="shared" ca="1" si="673"/>
        <v>0</v>
      </c>
      <c r="AB224" s="160">
        <f t="shared" ca="1" si="674"/>
        <v>0</v>
      </c>
      <c r="AC224" s="119">
        <f t="shared" ca="1" si="675"/>
        <v>0</v>
      </c>
      <c r="AD224" s="115">
        <f t="shared" ca="1" si="750"/>
        <v>-1.3068493150684932</v>
      </c>
      <c r="AE224" s="115">
        <f t="shared" si="751"/>
        <v>20</v>
      </c>
      <c r="AF224" s="115"/>
      <c r="AG224" s="115"/>
      <c r="AH224" s="115">
        <f t="shared" si="508"/>
        <v>3.9375</v>
      </c>
      <c r="AI224" s="115"/>
      <c r="AJ224" s="115">
        <f t="shared" si="509"/>
        <v>0</v>
      </c>
      <c r="AK224" s="115"/>
      <c r="AL224" s="142"/>
      <c r="AM224" s="153"/>
      <c r="AN224" s="153"/>
      <c r="AO224" s="153"/>
      <c r="AP224" s="153"/>
      <c r="AQ224" s="153"/>
      <c r="AR224" s="153"/>
      <c r="AS224" s="153"/>
      <c r="AT224" s="153"/>
      <c r="AU224" s="153"/>
      <c r="AV224" s="153"/>
      <c r="AW224" s="153"/>
      <c r="AX224" s="153"/>
      <c r="AY224" s="153"/>
      <c r="AZ224" s="153"/>
      <c r="BA224" s="153"/>
      <c r="BB224" s="153"/>
      <c r="BC224" s="153"/>
      <c r="BD224" s="153"/>
      <c r="BE224" s="153"/>
      <c r="BF224" s="153"/>
      <c r="BG224" s="153"/>
      <c r="BS224" s="13">
        <v>2</v>
      </c>
      <c r="BT224" s="123">
        <v>44491</v>
      </c>
      <c r="BU224" s="116" t="s">
        <v>8</v>
      </c>
      <c r="BV224" s="115" t="s">
        <v>482</v>
      </c>
      <c r="BW224" s="116" t="s">
        <v>502</v>
      </c>
      <c r="BX224" s="115">
        <v>18400</v>
      </c>
      <c r="BY224" s="115">
        <v>41.7</v>
      </c>
      <c r="BZ224" s="115">
        <v>47.945</v>
      </c>
      <c r="CA224" s="119">
        <v>-3216.6708800000001</v>
      </c>
      <c r="CB224" s="115">
        <v>1.1497601918465228</v>
      </c>
      <c r="CC224" s="115">
        <v>500</v>
      </c>
      <c r="CD224" s="115">
        <v>50</v>
      </c>
      <c r="CE224" s="119">
        <v>20850</v>
      </c>
    </row>
    <row r="225" spans="1:83" hidden="1">
      <c r="A225" s="13">
        <f t="shared" si="506"/>
        <v>218</v>
      </c>
      <c r="B225" s="123">
        <v>44692</v>
      </c>
      <c r="C225" s="116" t="s">
        <v>8</v>
      </c>
      <c r="D225" s="116">
        <v>1</v>
      </c>
      <c r="E225" s="115" t="s">
        <v>481</v>
      </c>
      <c r="F225" s="116" t="s">
        <v>284</v>
      </c>
      <c r="G225" s="115">
        <v>420</v>
      </c>
      <c r="H225" s="117">
        <v>44707</v>
      </c>
      <c r="I225" s="115">
        <v>1425</v>
      </c>
      <c r="J225" s="115">
        <v>4.4000000000000004</v>
      </c>
      <c r="K225" s="115">
        <v>0.5</v>
      </c>
      <c r="L225" s="119">
        <f t="shared" ca="1" si="743"/>
        <v>0</v>
      </c>
      <c r="M225" s="119">
        <f t="shared" si="744"/>
        <v>5557.5000000000009</v>
      </c>
      <c r="N225" s="115">
        <f t="shared" si="745"/>
        <v>0.11363636363636363</v>
      </c>
      <c r="O225" s="156">
        <f t="shared" si="746"/>
        <v>5.5</v>
      </c>
      <c r="P225" s="160">
        <f t="shared" si="507"/>
        <v>6270.0000000000009</v>
      </c>
      <c r="Q225" s="160" t="e">
        <f t="shared" ref="Q225:Q231" si="752">(W225-J225)*I225*IF(C225="B",1,-1)*IF(K225=0,1,0)</f>
        <v>#N/A</v>
      </c>
      <c r="R225" s="153" t="e">
        <f t="shared" ca="1" si="683"/>
        <v>#VALUE!</v>
      </c>
      <c r="S225" s="119">
        <f t="shared" si="748"/>
        <v>0.43999999999999995</v>
      </c>
      <c r="T225" s="115" t="e">
        <f>VLOOKUP(TRIM($F225),Reference!B:C,2,0)</f>
        <v>#VALUE!</v>
      </c>
      <c r="U225" s="170">
        <f t="shared" ca="1" si="749"/>
        <v>0</v>
      </c>
      <c r="V225" s="120" t="str">
        <f t="shared" si="670"/>
        <v>TATAMOTORS22MAY420CE</v>
      </c>
      <c r="W225" s="158" t="e">
        <f>VLOOKUP($V225,Reference!BA:BD,4,0)</f>
        <v>#N/A</v>
      </c>
      <c r="X225" s="160">
        <f t="shared" ca="1" si="671"/>
        <v>0</v>
      </c>
      <c r="Y225" s="160">
        <f t="shared" ca="1" si="672"/>
        <v>0</v>
      </c>
      <c r="Z225" s="160">
        <f t="shared" ca="1" si="686"/>
        <v>0</v>
      </c>
      <c r="AA225" s="160">
        <f t="shared" ca="1" si="673"/>
        <v>0</v>
      </c>
      <c r="AB225" s="160">
        <f t="shared" ca="1" si="674"/>
        <v>0</v>
      </c>
      <c r="AC225" s="119">
        <f t="shared" ca="1" si="675"/>
        <v>0</v>
      </c>
      <c r="AD225" s="115">
        <f t="shared" ca="1" si="750"/>
        <v>-1.3068493150684932</v>
      </c>
      <c r="AE225" s="115">
        <f t="shared" si="751"/>
        <v>20</v>
      </c>
      <c r="AF225" s="115"/>
      <c r="AG225" s="115"/>
      <c r="AH225" s="115">
        <f t="shared" si="508"/>
        <v>3.1350000000000007</v>
      </c>
      <c r="AI225" s="115"/>
      <c r="AJ225" s="115">
        <f t="shared" si="509"/>
        <v>0</v>
      </c>
      <c r="AK225" s="115"/>
      <c r="AL225" s="142"/>
      <c r="AM225" s="153"/>
      <c r="AN225" s="153"/>
      <c r="AO225" s="153"/>
      <c r="AP225" s="153"/>
      <c r="AQ225" s="153"/>
      <c r="AR225" s="153"/>
      <c r="AS225" s="153"/>
      <c r="AT225" s="153"/>
      <c r="AU225" s="153"/>
      <c r="AV225" s="153"/>
      <c r="AW225" s="153"/>
      <c r="AX225" s="153"/>
      <c r="AY225" s="153"/>
      <c r="AZ225" s="153"/>
      <c r="BA225" s="153"/>
      <c r="BB225" s="153"/>
      <c r="BC225" s="153"/>
      <c r="BD225" s="153"/>
      <c r="BE225" s="153"/>
      <c r="BF225" s="153"/>
      <c r="BG225" s="153"/>
      <c r="BS225" s="13">
        <v>2</v>
      </c>
      <c r="BT225" s="123">
        <v>44491</v>
      </c>
      <c r="BU225" s="116" t="s">
        <v>8</v>
      </c>
      <c r="BV225" s="115" t="s">
        <v>482</v>
      </c>
      <c r="BW225" s="116" t="s">
        <v>502</v>
      </c>
      <c r="BX225" s="115">
        <v>18400</v>
      </c>
      <c r="BY225" s="115">
        <v>41.7</v>
      </c>
      <c r="BZ225" s="115">
        <v>47.945</v>
      </c>
      <c r="CA225" s="119">
        <v>-3216.6708800000001</v>
      </c>
      <c r="CB225" s="115">
        <v>1.1497601918465228</v>
      </c>
      <c r="CC225" s="115">
        <v>500</v>
      </c>
      <c r="CD225" s="115">
        <v>50</v>
      </c>
      <c r="CE225" s="119">
        <v>20850</v>
      </c>
    </row>
    <row r="226" spans="1:83" hidden="1">
      <c r="A226" s="13">
        <f t="shared" si="506"/>
        <v>219</v>
      </c>
      <c r="B226" s="123">
        <v>44692</v>
      </c>
      <c r="C226" s="116" t="s">
        <v>8</v>
      </c>
      <c r="D226" s="116">
        <v>1</v>
      </c>
      <c r="E226" s="115" t="s">
        <v>481</v>
      </c>
      <c r="F226" s="116" t="s">
        <v>502</v>
      </c>
      <c r="G226" s="115">
        <v>17400</v>
      </c>
      <c r="H226" s="117">
        <v>44707</v>
      </c>
      <c r="I226" s="115">
        <v>50</v>
      </c>
      <c r="J226" s="115">
        <v>15</v>
      </c>
      <c r="K226" s="115">
        <v>1.55</v>
      </c>
      <c r="L226" s="119">
        <f t="shared" ca="1" si="743"/>
        <v>0</v>
      </c>
      <c r="M226" s="119">
        <f t="shared" si="744"/>
        <v>672.5</v>
      </c>
      <c r="N226" s="115">
        <f t="shared" si="745"/>
        <v>0.10333333333333333</v>
      </c>
      <c r="O226" s="156">
        <f t="shared" si="746"/>
        <v>18.75</v>
      </c>
      <c r="P226" s="160">
        <f t="shared" si="507"/>
        <v>750</v>
      </c>
      <c r="Q226" s="160" t="e">
        <f t="shared" si="752"/>
        <v>#N/A</v>
      </c>
      <c r="R226" s="153" t="e">
        <f t="shared" ca="1" si="683"/>
        <v>#VALUE!</v>
      </c>
      <c r="S226" s="119">
        <f t="shared" si="748"/>
        <v>1.4999999999999996</v>
      </c>
      <c r="T226" s="115" t="str">
        <f>VLOOKUP(TRIM($F226),Reference!B:C,2,0)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26" s="170">
        <f t="shared" ca="1" si="749"/>
        <v>0</v>
      </c>
      <c r="V226" s="120" t="str">
        <f t="shared" si="670"/>
        <v>NIFTY22MAY17400CE</v>
      </c>
      <c r="W226" s="158" t="e">
        <f>VLOOKUP($V226,Reference!BA:BD,4,0)</f>
        <v>#N/A</v>
      </c>
      <c r="X226" s="160">
        <f t="shared" ca="1" si="671"/>
        <v>0</v>
      </c>
      <c r="Y226" s="160">
        <f t="shared" ca="1" si="672"/>
        <v>0</v>
      </c>
      <c r="Z226" s="160">
        <f t="shared" ca="1" si="686"/>
        <v>0</v>
      </c>
      <c r="AA226" s="160">
        <f t="shared" ca="1" si="673"/>
        <v>0</v>
      </c>
      <c r="AB226" s="160">
        <f t="shared" ca="1" si="674"/>
        <v>0</v>
      </c>
      <c r="AC226" s="119">
        <f t="shared" ca="1" si="675"/>
        <v>0</v>
      </c>
      <c r="AD226" s="115">
        <f t="shared" ca="1" si="750"/>
        <v>-1.3068493150684932</v>
      </c>
      <c r="AE226" s="115">
        <f t="shared" si="751"/>
        <v>20</v>
      </c>
      <c r="AF226" s="115"/>
      <c r="AG226" s="115"/>
      <c r="AH226" s="115">
        <f t="shared" si="508"/>
        <v>0.375</v>
      </c>
      <c r="AI226" s="115"/>
      <c r="AJ226" s="115">
        <f t="shared" si="509"/>
        <v>0</v>
      </c>
      <c r="AK226" s="115"/>
      <c r="AL226" s="142"/>
      <c r="AM226" s="153"/>
      <c r="AN226" s="153"/>
      <c r="AO226" s="153"/>
      <c r="AP226" s="153"/>
      <c r="AQ226" s="153"/>
      <c r="AR226" s="153"/>
      <c r="AS226" s="153"/>
      <c r="AT226" s="153"/>
      <c r="AU226" s="153"/>
      <c r="AV226" s="153"/>
      <c r="AW226" s="153"/>
      <c r="AX226" s="153"/>
      <c r="AY226" s="153"/>
      <c r="AZ226" s="153"/>
      <c r="BA226" s="153"/>
      <c r="BB226" s="153"/>
      <c r="BC226" s="153"/>
      <c r="BD226" s="153"/>
      <c r="BE226" s="153"/>
      <c r="BF226" s="153"/>
      <c r="BG226" s="153"/>
      <c r="BS226" s="13">
        <v>2</v>
      </c>
      <c r="BT226" s="123">
        <v>44491</v>
      </c>
      <c r="BU226" s="116" t="s">
        <v>8</v>
      </c>
      <c r="BV226" s="115" t="s">
        <v>482</v>
      </c>
      <c r="BW226" s="116" t="s">
        <v>502</v>
      </c>
      <c r="BX226" s="115">
        <v>18400</v>
      </c>
      <c r="BY226" s="115">
        <v>41.7</v>
      </c>
      <c r="BZ226" s="115">
        <v>47.945</v>
      </c>
      <c r="CA226" s="119">
        <v>-3216.6708800000001</v>
      </c>
      <c r="CB226" s="115">
        <v>1.1497601918465228</v>
      </c>
      <c r="CC226" s="115">
        <v>500</v>
      </c>
      <c r="CD226" s="115">
        <v>50</v>
      </c>
      <c r="CE226" s="119">
        <v>20850</v>
      </c>
    </row>
    <row r="227" spans="1:83" hidden="1">
      <c r="A227" s="13">
        <f t="shared" si="506"/>
        <v>220</v>
      </c>
      <c r="B227" s="123">
        <v>44692</v>
      </c>
      <c r="C227" s="116" t="s">
        <v>8</v>
      </c>
      <c r="D227" s="116">
        <v>1</v>
      </c>
      <c r="E227" s="115" t="s">
        <v>481</v>
      </c>
      <c r="F227" s="116" t="s">
        <v>381</v>
      </c>
      <c r="G227" s="115">
        <v>3200</v>
      </c>
      <c r="H227" s="117">
        <v>44707</v>
      </c>
      <c r="I227" s="115">
        <v>200</v>
      </c>
      <c r="J227" s="115">
        <v>48.65</v>
      </c>
      <c r="K227" s="115">
        <v>35.65</v>
      </c>
      <c r="L227" s="119">
        <f t="shared" ca="1" si="743"/>
        <v>0</v>
      </c>
      <c r="M227" s="119">
        <f t="shared" si="744"/>
        <v>2600</v>
      </c>
      <c r="N227" s="115">
        <f t="shared" si="745"/>
        <v>0.73278520041109974</v>
      </c>
      <c r="O227" s="156">
        <f t="shared" si="746"/>
        <v>60.8125</v>
      </c>
      <c r="P227" s="160">
        <f t="shared" si="507"/>
        <v>9730</v>
      </c>
      <c r="Q227" s="160" t="e">
        <f t="shared" si="752"/>
        <v>#N/A</v>
      </c>
      <c r="R227" s="153" t="e">
        <f t="shared" ca="1" si="683"/>
        <v>#VALUE!</v>
      </c>
      <c r="S227" s="119">
        <f t="shared" si="748"/>
        <v>4.8649999999999984</v>
      </c>
      <c r="T227" s="115" t="e">
        <f>VLOOKUP(TRIM($F227),Reference!B:C,2,0)</f>
        <v>#VALUE!</v>
      </c>
      <c r="U227" s="170">
        <f t="shared" ca="1" si="749"/>
        <v>0</v>
      </c>
      <c r="V227" s="120" t="str">
        <f t="shared" si="670"/>
        <v>MINDTREE22MAY3200CE</v>
      </c>
      <c r="W227" s="158" t="e">
        <f>VLOOKUP($V227,Reference!BA:BD,4,0)</f>
        <v>#N/A</v>
      </c>
      <c r="X227" s="160">
        <f t="shared" ca="1" si="671"/>
        <v>0</v>
      </c>
      <c r="Y227" s="160">
        <f t="shared" ca="1" si="672"/>
        <v>0</v>
      </c>
      <c r="Z227" s="160">
        <f t="shared" ca="1" si="686"/>
        <v>0</v>
      </c>
      <c r="AA227" s="160">
        <f t="shared" ca="1" si="673"/>
        <v>0</v>
      </c>
      <c r="AB227" s="160">
        <f t="shared" ca="1" si="674"/>
        <v>0</v>
      </c>
      <c r="AC227" s="119">
        <f t="shared" ca="1" si="675"/>
        <v>0</v>
      </c>
      <c r="AD227" s="115">
        <f t="shared" ca="1" si="750"/>
        <v>-1.3068493150684932</v>
      </c>
      <c r="AE227" s="115">
        <f t="shared" si="751"/>
        <v>20</v>
      </c>
      <c r="AF227" s="115"/>
      <c r="AG227" s="115"/>
      <c r="AH227" s="115">
        <f t="shared" si="508"/>
        <v>4.8650000000000002</v>
      </c>
      <c r="AI227" s="115"/>
      <c r="AJ227" s="115">
        <f t="shared" si="509"/>
        <v>0</v>
      </c>
      <c r="AK227" s="115"/>
      <c r="AL227" s="142"/>
      <c r="AM227" s="153"/>
      <c r="AN227" s="153"/>
      <c r="AO227" s="153"/>
      <c r="AP227" s="153"/>
      <c r="AQ227" s="153"/>
      <c r="AR227" s="153"/>
      <c r="AS227" s="153"/>
      <c r="AT227" s="153"/>
      <c r="AU227" s="153"/>
      <c r="AV227" s="153"/>
      <c r="AW227" s="153"/>
      <c r="AX227" s="153"/>
      <c r="AY227" s="153"/>
      <c r="AZ227" s="153"/>
      <c r="BA227" s="153"/>
      <c r="BB227" s="153"/>
      <c r="BC227" s="153"/>
      <c r="BD227" s="153"/>
      <c r="BE227" s="153"/>
      <c r="BF227" s="153"/>
      <c r="BG227" s="153"/>
      <c r="BS227" s="13">
        <v>2</v>
      </c>
      <c r="BT227" s="123">
        <v>44491</v>
      </c>
      <c r="BU227" s="116" t="s">
        <v>8</v>
      </c>
      <c r="BV227" s="115" t="s">
        <v>482</v>
      </c>
      <c r="BW227" s="116" t="s">
        <v>502</v>
      </c>
      <c r="BX227" s="115">
        <v>18400</v>
      </c>
      <c r="BY227" s="115">
        <v>41.7</v>
      </c>
      <c r="BZ227" s="115">
        <v>47.945</v>
      </c>
      <c r="CA227" s="119">
        <v>-3216.6708800000001</v>
      </c>
      <c r="CB227" s="115">
        <v>1.1497601918465228</v>
      </c>
      <c r="CC227" s="115">
        <v>500</v>
      </c>
      <c r="CD227" s="115">
        <v>50</v>
      </c>
      <c r="CE227" s="119">
        <v>20850</v>
      </c>
    </row>
    <row r="228" spans="1:83" hidden="1">
      <c r="A228" s="13">
        <f t="shared" ref="A228:A434" si="753">A227+1</f>
        <v>221</v>
      </c>
      <c r="B228" s="123">
        <v>44644</v>
      </c>
      <c r="C228" s="116" t="s">
        <v>8</v>
      </c>
      <c r="D228" s="116">
        <v>1</v>
      </c>
      <c r="E228" s="115" t="s">
        <v>481</v>
      </c>
      <c r="F228" s="116" t="s">
        <v>399</v>
      </c>
      <c r="G228" s="115">
        <v>1800</v>
      </c>
      <c r="H228" s="117">
        <v>44707</v>
      </c>
      <c r="I228" s="115">
        <v>575</v>
      </c>
      <c r="J228" s="115">
        <v>21</v>
      </c>
      <c r="K228" s="115">
        <v>2.75</v>
      </c>
      <c r="L228" s="119">
        <f t="shared" ca="1" si="743"/>
        <v>0</v>
      </c>
      <c r="M228" s="119">
        <f t="shared" si="744"/>
        <v>10493.75</v>
      </c>
      <c r="N228" s="115">
        <f t="shared" si="745"/>
        <v>0.13095238095238096</v>
      </c>
      <c r="O228" s="156">
        <f t="shared" si="746"/>
        <v>26.25</v>
      </c>
      <c r="P228" s="160">
        <f t="shared" ref="P228:P434" si="754">$J228*$I228*$D228</f>
        <v>12075</v>
      </c>
      <c r="Q228" s="160" t="e">
        <f t="shared" si="752"/>
        <v>#N/A</v>
      </c>
      <c r="R228" s="153" t="e">
        <f t="shared" ca="1" si="683"/>
        <v>#VALUE!</v>
      </c>
      <c r="S228" s="119">
        <f t="shared" si="748"/>
        <v>2.0999999999999996</v>
      </c>
      <c r="T228" s="115" t="e">
        <f>VLOOKUP(TRIM($F228),Reference!B:C,2,0)</f>
        <v>#VALUE!</v>
      </c>
      <c r="U228" s="170">
        <f t="shared" ca="1" si="749"/>
        <v>0</v>
      </c>
      <c r="V228" s="120" t="str">
        <f t="shared" si="670"/>
        <v>LT22MAY1800CE</v>
      </c>
      <c r="W228" s="158" t="e">
        <f>VLOOKUP($V228,Reference!BA:BD,4,0)</f>
        <v>#N/A</v>
      </c>
      <c r="X228" s="160">
        <f t="shared" ca="1" si="671"/>
        <v>0</v>
      </c>
      <c r="Y228" s="160">
        <f t="shared" ca="1" si="672"/>
        <v>0</v>
      </c>
      <c r="Z228" s="160">
        <f t="shared" ca="1" si="686"/>
        <v>0</v>
      </c>
      <c r="AA228" s="160">
        <f t="shared" ca="1" si="673"/>
        <v>0</v>
      </c>
      <c r="AB228" s="160">
        <f t="shared" ca="1" si="674"/>
        <v>0</v>
      </c>
      <c r="AC228" s="119">
        <f t="shared" ca="1" si="675"/>
        <v>0</v>
      </c>
      <c r="AD228" s="115">
        <f t="shared" ca="1" si="750"/>
        <v>-1.3068493150684932</v>
      </c>
      <c r="AE228" s="115">
        <f t="shared" si="751"/>
        <v>20</v>
      </c>
      <c r="AF228" s="115"/>
      <c r="AG228" s="115"/>
      <c r="AH228" s="115">
        <f t="shared" ref="AH228:AH434" si="755">0.05%*$P228*(IF($C228="B",0,1))</f>
        <v>6.0375000000000005</v>
      </c>
      <c r="AI228" s="115"/>
      <c r="AJ228" s="115">
        <f t="shared" ref="AJ228:AJ434" si="756">300/10000000*$P228*(IF($C228="B",1,0))</f>
        <v>0</v>
      </c>
      <c r="AK228" s="115"/>
      <c r="AL228" s="142"/>
      <c r="AM228" s="153"/>
      <c r="AN228" s="153"/>
      <c r="AO228" s="153"/>
      <c r="AP228" s="153"/>
      <c r="AQ228" s="153"/>
      <c r="AR228" s="153"/>
      <c r="AS228" s="153"/>
      <c r="AT228" s="153"/>
      <c r="AU228" s="153"/>
      <c r="AV228" s="153"/>
      <c r="AW228" s="153"/>
      <c r="AX228" s="153"/>
      <c r="AY228" s="153"/>
      <c r="AZ228" s="153"/>
      <c r="BA228" s="153"/>
      <c r="BB228" s="153"/>
      <c r="BC228" s="153"/>
      <c r="BD228" s="153"/>
      <c r="BE228" s="153"/>
      <c r="BF228" s="153"/>
      <c r="BG228" s="153"/>
      <c r="BS228" s="13">
        <v>2</v>
      </c>
      <c r="BT228" s="123">
        <v>44491</v>
      </c>
      <c r="BU228" s="116" t="s">
        <v>8</v>
      </c>
      <c r="BV228" s="115" t="s">
        <v>482</v>
      </c>
      <c r="BW228" s="116" t="s">
        <v>502</v>
      </c>
      <c r="BX228" s="115">
        <v>18400</v>
      </c>
      <c r="BY228" s="115">
        <v>41.7</v>
      </c>
      <c r="BZ228" s="115">
        <v>47.945</v>
      </c>
      <c r="CA228" s="119">
        <v>-3216.6708800000001</v>
      </c>
      <c r="CB228" s="115">
        <v>1.1497601918465228</v>
      </c>
      <c r="CC228" s="115">
        <v>500</v>
      </c>
      <c r="CD228" s="115">
        <v>50</v>
      </c>
      <c r="CE228" s="119">
        <v>20850</v>
      </c>
    </row>
    <row r="229" spans="1:83" hidden="1">
      <c r="A229" s="13">
        <f t="shared" si="753"/>
        <v>222</v>
      </c>
      <c r="B229" s="123">
        <v>44692</v>
      </c>
      <c r="C229" s="116" t="s">
        <v>8</v>
      </c>
      <c r="D229" s="116">
        <v>1</v>
      </c>
      <c r="E229" s="115" t="s">
        <v>481</v>
      </c>
      <c r="F229" s="116" t="s">
        <v>399</v>
      </c>
      <c r="G229" s="115">
        <v>1700</v>
      </c>
      <c r="H229" s="117">
        <v>44707</v>
      </c>
      <c r="I229" s="115">
        <v>575</v>
      </c>
      <c r="J229" s="115">
        <v>7.45</v>
      </c>
      <c r="K229" s="115">
        <v>3.55</v>
      </c>
      <c r="L229" s="119">
        <f t="shared" ca="1" si="743"/>
        <v>0</v>
      </c>
      <c r="M229" s="119">
        <f t="shared" si="744"/>
        <v>2242.5</v>
      </c>
      <c r="N229" s="115">
        <f t="shared" si="745"/>
        <v>0.47651006711409394</v>
      </c>
      <c r="O229" s="156">
        <f t="shared" si="746"/>
        <v>9.3125</v>
      </c>
      <c r="P229" s="160">
        <f t="shared" si="754"/>
        <v>4283.75</v>
      </c>
      <c r="Q229" s="160" t="e">
        <f t="shared" si="752"/>
        <v>#N/A</v>
      </c>
      <c r="R229" s="153" t="e">
        <f t="shared" ca="1" si="683"/>
        <v>#VALUE!</v>
      </c>
      <c r="S229" s="119">
        <f t="shared" si="748"/>
        <v>0.74499999999999988</v>
      </c>
      <c r="T229" s="115" t="e">
        <f>VLOOKUP(TRIM($F229),Reference!B:C,2,0)</f>
        <v>#VALUE!</v>
      </c>
      <c r="U229" s="170">
        <f t="shared" ca="1" si="749"/>
        <v>0</v>
      </c>
      <c r="V229" s="120" t="str">
        <f t="shared" si="670"/>
        <v>LT22MAY1700CE</v>
      </c>
      <c r="W229" s="158" t="e">
        <f>VLOOKUP($V229,Reference!BA:BD,4,0)</f>
        <v>#N/A</v>
      </c>
      <c r="X229" s="160">
        <f t="shared" ca="1" si="671"/>
        <v>0</v>
      </c>
      <c r="Y229" s="160">
        <f t="shared" ca="1" si="672"/>
        <v>0</v>
      </c>
      <c r="Z229" s="160">
        <f t="shared" ca="1" si="686"/>
        <v>0</v>
      </c>
      <c r="AA229" s="160">
        <f t="shared" ca="1" si="673"/>
        <v>0</v>
      </c>
      <c r="AB229" s="160">
        <f t="shared" ca="1" si="674"/>
        <v>0</v>
      </c>
      <c r="AC229" s="119">
        <f t="shared" ca="1" si="675"/>
        <v>0</v>
      </c>
      <c r="AD229" s="115">
        <f t="shared" ca="1" si="750"/>
        <v>-1.3068493150684932</v>
      </c>
      <c r="AE229" s="115">
        <f t="shared" si="751"/>
        <v>20</v>
      </c>
      <c r="AF229" s="115"/>
      <c r="AG229" s="115"/>
      <c r="AH229" s="115">
        <f t="shared" si="755"/>
        <v>2.1418750000000002</v>
      </c>
      <c r="AI229" s="115"/>
      <c r="AJ229" s="115">
        <f t="shared" si="756"/>
        <v>0</v>
      </c>
      <c r="AK229" s="115"/>
      <c r="AL229" s="142"/>
      <c r="AM229" s="153"/>
      <c r="AN229" s="153"/>
      <c r="AO229" s="153"/>
      <c r="AP229" s="153"/>
      <c r="AQ229" s="153"/>
      <c r="AR229" s="153"/>
      <c r="AS229" s="153"/>
      <c r="AT229" s="153"/>
      <c r="AU229" s="153"/>
      <c r="AV229" s="153"/>
      <c r="AW229" s="153"/>
      <c r="AX229" s="153"/>
      <c r="AY229" s="153"/>
      <c r="AZ229" s="153"/>
      <c r="BA229" s="153"/>
      <c r="BB229" s="153"/>
      <c r="BC229" s="153"/>
      <c r="BD229" s="153"/>
      <c r="BE229" s="153"/>
      <c r="BF229" s="153"/>
      <c r="BG229" s="153"/>
      <c r="BS229" s="13">
        <v>2</v>
      </c>
      <c r="BT229" s="123">
        <v>44491</v>
      </c>
      <c r="BU229" s="116" t="s">
        <v>8</v>
      </c>
      <c r="BV229" s="115" t="s">
        <v>482</v>
      </c>
      <c r="BW229" s="116" t="s">
        <v>502</v>
      </c>
      <c r="BX229" s="115">
        <v>18400</v>
      </c>
      <c r="BY229" s="115">
        <v>41.7</v>
      </c>
      <c r="BZ229" s="115">
        <v>47.945</v>
      </c>
      <c r="CA229" s="119">
        <v>-3216.6708800000001</v>
      </c>
      <c r="CB229" s="115">
        <v>1.1497601918465228</v>
      </c>
      <c r="CC229" s="115">
        <v>500</v>
      </c>
      <c r="CD229" s="115">
        <v>50</v>
      </c>
      <c r="CE229" s="119">
        <v>20850</v>
      </c>
    </row>
    <row r="230" spans="1:83" hidden="1">
      <c r="A230" s="13">
        <f t="shared" si="753"/>
        <v>223</v>
      </c>
      <c r="B230" s="123">
        <v>44692</v>
      </c>
      <c r="C230" s="116" t="s">
        <v>6</v>
      </c>
      <c r="D230" s="116">
        <v>1</v>
      </c>
      <c r="E230" s="115" t="s">
        <v>632</v>
      </c>
      <c r="F230" s="116" t="s">
        <v>90</v>
      </c>
      <c r="G230" s="115"/>
      <c r="H230" s="117">
        <v>44707</v>
      </c>
      <c r="I230" s="115">
        <v>150</v>
      </c>
      <c r="J230" s="115">
        <v>3385.45</v>
      </c>
      <c r="K230" s="115">
        <v>3403.05</v>
      </c>
      <c r="L230" s="119">
        <f t="shared" ca="1" si="743"/>
        <v>0</v>
      </c>
      <c r="M230" s="119">
        <f t="shared" si="744"/>
        <v>2640.0000000000546</v>
      </c>
      <c r="N230" s="115">
        <f t="shared" si="745"/>
        <v>1.0051987180433917</v>
      </c>
      <c r="O230" s="156">
        <f t="shared" si="746"/>
        <v>2539.0874999999996</v>
      </c>
      <c r="P230" s="160">
        <f t="shared" si="754"/>
        <v>507817.5</v>
      </c>
      <c r="Q230" s="160" t="e">
        <f t="shared" si="752"/>
        <v>#N/A</v>
      </c>
      <c r="R230" s="153" t="e">
        <f t="shared" ca="1" si="683"/>
        <v>#VALUE!</v>
      </c>
      <c r="S230" s="119">
        <f t="shared" si="748"/>
        <v>338.5449999999999</v>
      </c>
      <c r="T230" s="115" t="e">
        <f>VLOOKUP(TRIM($F230),Reference!B:C,2,0)</f>
        <v>#VALUE!</v>
      </c>
      <c r="U230" s="170">
        <f t="shared" ca="1" si="749"/>
        <v>0</v>
      </c>
      <c r="V230" s="120" t="str">
        <f t="shared" si="670"/>
        <v>TCS22MAYFUT</v>
      </c>
      <c r="W230" s="158" t="e">
        <f>VLOOKUP($V230,Reference!BA:BD,4,0)</f>
        <v>#N/A</v>
      </c>
      <c r="X230" s="160">
        <f t="shared" ca="1" si="671"/>
        <v>0</v>
      </c>
      <c r="Y230" s="160">
        <f t="shared" ca="1" si="672"/>
        <v>0</v>
      </c>
      <c r="Z230" s="160">
        <f t="shared" ca="1" si="686"/>
        <v>0</v>
      </c>
      <c r="AA230" s="160">
        <f t="shared" ca="1" si="673"/>
        <v>0</v>
      </c>
      <c r="AB230" s="160">
        <f t="shared" ca="1" si="674"/>
        <v>0</v>
      </c>
      <c r="AC230" s="119">
        <f t="shared" ca="1" si="675"/>
        <v>0</v>
      </c>
      <c r="AD230" s="115">
        <f t="shared" ca="1" si="750"/>
        <v>-1.3068493150684932</v>
      </c>
      <c r="AE230" s="115">
        <f t="shared" si="751"/>
        <v>20</v>
      </c>
      <c r="AF230" s="115"/>
      <c r="AG230" s="115"/>
      <c r="AH230" s="115">
        <f t="shared" si="755"/>
        <v>0</v>
      </c>
      <c r="AI230" s="115"/>
      <c r="AJ230" s="115">
        <f t="shared" si="756"/>
        <v>15.234525</v>
      </c>
      <c r="AK230" s="115"/>
      <c r="AL230" s="142"/>
      <c r="AM230" s="153"/>
      <c r="AN230" s="153"/>
      <c r="AO230" s="153"/>
      <c r="AP230" s="153"/>
      <c r="AQ230" s="153"/>
      <c r="AR230" s="153"/>
      <c r="AS230" s="153"/>
      <c r="AT230" s="153"/>
      <c r="AU230" s="153"/>
      <c r="AV230" s="153"/>
      <c r="AW230" s="153"/>
      <c r="AX230" s="153"/>
      <c r="AY230" s="153"/>
      <c r="AZ230" s="153"/>
      <c r="BA230" s="153"/>
      <c r="BB230" s="153"/>
      <c r="BC230" s="153"/>
      <c r="BD230" s="153"/>
      <c r="BE230" s="153"/>
      <c r="BF230" s="153"/>
      <c r="BG230" s="153"/>
      <c r="BS230" s="13">
        <v>2</v>
      </c>
      <c r="BT230" s="123">
        <v>44491</v>
      </c>
      <c r="BU230" s="116" t="s">
        <v>8</v>
      </c>
      <c r="BV230" s="115" t="s">
        <v>482</v>
      </c>
      <c r="BW230" s="116" t="s">
        <v>502</v>
      </c>
      <c r="BX230" s="115">
        <v>18400</v>
      </c>
      <c r="BY230" s="115">
        <v>41.7</v>
      </c>
      <c r="BZ230" s="115">
        <v>47.945</v>
      </c>
      <c r="CA230" s="119">
        <v>-3216.6708800000001</v>
      </c>
      <c r="CB230" s="115">
        <v>1.1497601918465228</v>
      </c>
      <c r="CC230" s="115">
        <v>500</v>
      </c>
      <c r="CD230" s="115">
        <v>50</v>
      </c>
      <c r="CE230" s="119">
        <v>20850</v>
      </c>
    </row>
    <row r="231" spans="1:83" hidden="1">
      <c r="A231" s="13">
        <f t="shared" si="753"/>
        <v>224</v>
      </c>
      <c r="B231" s="123">
        <v>44692</v>
      </c>
      <c r="C231" s="116" t="s">
        <v>6</v>
      </c>
      <c r="D231" s="116">
        <v>1</v>
      </c>
      <c r="E231" s="115" t="s">
        <v>632</v>
      </c>
      <c r="F231" s="116" t="s">
        <v>399</v>
      </c>
      <c r="G231" s="115"/>
      <c r="H231" s="117">
        <v>44707</v>
      </c>
      <c r="I231" s="115">
        <v>575</v>
      </c>
      <c r="J231" s="115">
        <v>1582</v>
      </c>
      <c r="K231" s="115">
        <v>1650.15</v>
      </c>
      <c r="L231" s="119">
        <f t="shared" ca="1" si="743"/>
        <v>0</v>
      </c>
      <c r="M231" s="119">
        <f t="shared" si="744"/>
        <v>39186.250000000051</v>
      </c>
      <c r="N231" s="115">
        <f t="shared" si="745"/>
        <v>1.0430783817951961</v>
      </c>
      <c r="O231" s="156">
        <f t="shared" si="746"/>
        <v>1186.5</v>
      </c>
      <c r="P231" s="160">
        <f t="shared" si="754"/>
        <v>909650</v>
      </c>
      <c r="Q231" s="160" t="e">
        <f t="shared" si="752"/>
        <v>#N/A</v>
      </c>
      <c r="R231" s="153" t="e">
        <f t="shared" ca="1" si="683"/>
        <v>#VALUE!</v>
      </c>
      <c r="S231" s="119">
        <f t="shared" si="748"/>
        <v>158.19999999999996</v>
      </c>
      <c r="T231" s="115" t="e">
        <f>VLOOKUP(TRIM($F231),Reference!B:C,2,0)</f>
        <v>#VALUE!</v>
      </c>
      <c r="U231" s="170">
        <f t="shared" ca="1" si="749"/>
        <v>0</v>
      </c>
      <c r="V231" s="120" t="str">
        <f t="shared" si="670"/>
        <v>LT22MAYFUT</v>
      </c>
      <c r="W231" s="158" t="e">
        <f>VLOOKUP($V231,Reference!BA:BD,4,0)</f>
        <v>#N/A</v>
      </c>
      <c r="X231" s="160">
        <f t="shared" ca="1" si="671"/>
        <v>0</v>
      </c>
      <c r="Y231" s="160">
        <f t="shared" ca="1" si="672"/>
        <v>0</v>
      </c>
      <c r="Z231" s="160">
        <f t="shared" ca="1" si="686"/>
        <v>0</v>
      </c>
      <c r="AA231" s="160">
        <f t="shared" ca="1" si="673"/>
        <v>0</v>
      </c>
      <c r="AB231" s="160">
        <f t="shared" ca="1" si="674"/>
        <v>0</v>
      </c>
      <c r="AC231" s="119">
        <f t="shared" ca="1" si="675"/>
        <v>0</v>
      </c>
      <c r="AD231" s="115">
        <f t="shared" ca="1" si="750"/>
        <v>-1.3068493150684932</v>
      </c>
      <c r="AE231" s="115">
        <f t="shared" si="751"/>
        <v>20</v>
      </c>
      <c r="AF231" s="115"/>
      <c r="AG231" s="115"/>
      <c r="AH231" s="115">
        <f t="shared" si="755"/>
        <v>0</v>
      </c>
      <c r="AI231" s="115"/>
      <c r="AJ231" s="115">
        <f t="shared" si="756"/>
        <v>27.2895</v>
      </c>
      <c r="AK231" s="115"/>
      <c r="AL231" s="142"/>
      <c r="AM231" s="153"/>
      <c r="AN231" s="153"/>
      <c r="AO231" s="153"/>
      <c r="AP231" s="153"/>
      <c r="AQ231" s="153"/>
      <c r="AR231" s="153"/>
      <c r="AS231" s="153"/>
      <c r="AT231" s="153"/>
      <c r="AU231" s="153"/>
      <c r="AV231" s="153"/>
      <c r="AW231" s="153"/>
      <c r="AX231" s="153"/>
      <c r="AY231" s="153"/>
      <c r="AZ231" s="153"/>
      <c r="BA231" s="153"/>
      <c r="BB231" s="153"/>
      <c r="BC231" s="153"/>
      <c r="BD231" s="153"/>
      <c r="BE231" s="153"/>
      <c r="BF231" s="153"/>
      <c r="BG231" s="153"/>
      <c r="BS231" s="13">
        <v>2</v>
      </c>
      <c r="BT231" s="123">
        <v>44491</v>
      </c>
      <c r="BU231" s="116" t="s">
        <v>8</v>
      </c>
      <c r="BV231" s="115" t="s">
        <v>482</v>
      </c>
      <c r="BW231" s="116" t="s">
        <v>502</v>
      </c>
      <c r="BX231" s="115">
        <v>18400</v>
      </c>
      <c r="BY231" s="115">
        <v>41.7</v>
      </c>
      <c r="BZ231" s="115">
        <v>47.945</v>
      </c>
      <c r="CA231" s="119">
        <v>-3216.6708800000001</v>
      </c>
      <c r="CB231" s="115">
        <v>1.1497601918465228</v>
      </c>
      <c r="CC231" s="115">
        <v>500</v>
      </c>
      <c r="CD231" s="115">
        <v>50</v>
      </c>
      <c r="CE231" s="119">
        <v>20850</v>
      </c>
    </row>
    <row r="232" spans="1:83" hidden="1">
      <c r="A232" s="13">
        <f t="shared" si="753"/>
        <v>225</v>
      </c>
      <c r="B232" s="123">
        <v>44692</v>
      </c>
      <c r="C232" s="116" t="s">
        <v>8</v>
      </c>
      <c r="D232" s="116">
        <v>1</v>
      </c>
      <c r="E232" s="115" t="s">
        <v>481</v>
      </c>
      <c r="F232" s="116" t="s">
        <v>381</v>
      </c>
      <c r="G232" s="115">
        <v>3200</v>
      </c>
      <c r="H232" s="117">
        <v>44707</v>
      </c>
      <c r="I232" s="115">
        <v>200</v>
      </c>
      <c r="J232" s="115">
        <v>59.3</v>
      </c>
      <c r="K232" s="115">
        <v>35.65</v>
      </c>
      <c r="L232" s="119">
        <f t="shared" ref="L232:L233" ca="1" si="757">IF(AND(K232&lt;&gt;0,I232&lt;&gt;0),(IF(C232="B",1,-1))*(K232-J232)*I232-AK232*2,0)*$D232*IF(MONTH($B$2)=MONTH($H232),1,0)</f>
        <v>0</v>
      </c>
      <c r="M232" s="119">
        <f t="shared" ref="M232:M233" si="758">IF(AND(K232&lt;&gt;0,I232&lt;&gt;0),(IF(C232="B",1,-1))*(K232-J232)*I232-AK232*2,0)*$D232</f>
        <v>4730</v>
      </c>
      <c r="N232" s="115">
        <f t="shared" ref="N232:N233" si="759">K232/$J232</f>
        <v>0.60118043844856661</v>
      </c>
      <c r="O232" s="156">
        <f t="shared" ref="O232:O233" si="760">J232*(1+$O$6*IF(C232="B",-1,1))</f>
        <v>74.125</v>
      </c>
      <c r="P232" s="160">
        <f t="shared" si="754"/>
        <v>11860</v>
      </c>
      <c r="Q232" s="160" t="e">
        <f t="shared" ref="Q232:Q233" si="761">(W232-J232)*I232*IF(C232="B",1,-1)*IF(K232=0,1,0)</f>
        <v>#N/A</v>
      </c>
      <c r="R232" s="153" t="e">
        <f t="shared" ca="1" si="683"/>
        <v>#VALUE!</v>
      </c>
      <c r="S232" s="119">
        <f t="shared" ref="S232:S233" si="762">(1-$S$6)*J232</f>
        <v>5.9299999999999988</v>
      </c>
      <c r="T232" s="115" t="e">
        <f>VLOOKUP(TRIM($F232),Reference!B:C,2,0)</f>
        <v>#VALUE!</v>
      </c>
      <c r="U232" s="170">
        <f t="shared" ref="U232:U233" ca="1" si="763">AC232</f>
        <v>0</v>
      </c>
      <c r="V232" s="120" t="str">
        <f t="shared" si="670"/>
        <v>MINDTREE22MAY3200CE</v>
      </c>
      <c r="W232" s="158" t="e">
        <f>VLOOKUP($V232,Reference!BA:BD,4,0)</f>
        <v>#N/A</v>
      </c>
      <c r="X232" s="160">
        <f t="shared" ca="1" si="671"/>
        <v>0</v>
      </c>
      <c r="Y232" s="160">
        <f t="shared" ca="1" si="672"/>
        <v>0</v>
      </c>
      <c r="Z232" s="160">
        <f t="shared" ca="1" si="686"/>
        <v>0</v>
      </c>
      <c r="AA232" s="160">
        <f t="shared" ca="1" si="673"/>
        <v>0</v>
      </c>
      <c r="AB232" s="160">
        <f t="shared" ca="1" si="674"/>
        <v>0</v>
      </c>
      <c r="AC232" s="119">
        <f t="shared" ca="1" si="675"/>
        <v>0</v>
      </c>
      <c r="AD232" s="115">
        <f t="shared" ref="AD232:AD233" ca="1" si="764">(H232-TODAY())/365</f>
        <v>-1.3068493150684932</v>
      </c>
      <c r="AE232" s="115">
        <f t="shared" ref="AE232:AE233" si="765">IF(I232&lt;&gt;0,20,0)</f>
        <v>20</v>
      </c>
      <c r="AF232" s="115"/>
      <c r="AG232" s="115"/>
      <c r="AH232" s="115">
        <f t="shared" si="755"/>
        <v>5.93</v>
      </c>
      <c r="AI232" s="115"/>
      <c r="AJ232" s="115">
        <f t="shared" si="756"/>
        <v>0</v>
      </c>
      <c r="AK232" s="115"/>
      <c r="AL232" s="142"/>
      <c r="AM232" s="153"/>
      <c r="AN232" s="153"/>
      <c r="AO232" s="153"/>
      <c r="AP232" s="153"/>
      <c r="AQ232" s="153"/>
      <c r="AR232" s="153"/>
      <c r="AS232" s="153"/>
      <c r="AT232" s="153"/>
      <c r="AU232" s="153"/>
      <c r="AV232" s="153"/>
      <c r="AW232" s="153"/>
      <c r="AX232" s="153"/>
      <c r="AY232" s="153"/>
      <c r="AZ232" s="153"/>
      <c r="BA232" s="153"/>
      <c r="BB232" s="153"/>
      <c r="BC232" s="153"/>
      <c r="BD232" s="153"/>
      <c r="BE232" s="153"/>
      <c r="BF232" s="153"/>
      <c r="BG232" s="153"/>
      <c r="BS232" s="13">
        <v>2</v>
      </c>
      <c r="BT232" s="123">
        <v>44491</v>
      </c>
      <c r="BU232" s="116" t="s">
        <v>8</v>
      </c>
      <c r="BV232" s="115" t="s">
        <v>482</v>
      </c>
      <c r="BW232" s="116" t="s">
        <v>502</v>
      </c>
      <c r="BX232" s="115">
        <v>18400</v>
      </c>
      <c r="BY232" s="115">
        <v>41.7</v>
      </c>
      <c r="BZ232" s="115">
        <v>47.945</v>
      </c>
      <c r="CA232" s="119">
        <v>-3216.6708800000001</v>
      </c>
      <c r="CB232" s="115">
        <v>1.1497601918465228</v>
      </c>
      <c r="CC232" s="115">
        <v>500</v>
      </c>
      <c r="CD232" s="115">
        <v>50</v>
      </c>
      <c r="CE232" s="119">
        <v>20850</v>
      </c>
    </row>
    <row r="233" spans="1:83" hidden="1">
      <c r="A233" s="13">
        <f t="shared" si="753"/>
        <v>226</v>
      </c>
      <c r="B233" s="123">
        <v>44692</v>
      </c>
      <c r="C233" s="116" t="s">
        <v>8</v>
      </c>
      <c r="D233" s="116">
        <v>1</v>
      </c>
      <c r="E233" s="115" t="s">
        <v>481</v>
      </c>
      <c r="F233" s="116" t="s">
        <v>90</v>
      </c>
      <c r="G233" s="115">
        <v>3500</v>
      </c>
      <c r="H233" s="117">
        <v>44707</v>
      </c>
      <c r="I233" s="115">
        <v>150</v>
      </c>
      <c r="J233" s="115">
        <v>31.35</v>
      </c>
      <c r="K233" s="115">
        <v>1.25</v>
      </c>
      <c r="L233" s="119">
        <f t="shared" ca="1" si="757"/>
        <v>0</v>
      </c>
      <c r="M233" s="119">
        <f t="shared" si="758"/>
        <v>4515</v>
      </c>
      <c r="N233" s="115">
        <f t="shared" si="759"/>
        <v>3.987240829346092E-2</v>
      </c>
      <c r="O233" s="156">
        <f t="shared" si="760"/>
        <v>39.1875</v>
      </c>
      <c r="P233" s="160">
        <f t="shared" si="754"/>
        <v>4702.5</v>
      </c>
      <c r="Q233" s="160" t="e">
        <f t="shared" si="761"/>
        <v>#N/A</v>
      </c>
      <c r="R233" s="153" t="e">
        <f t="shared" ca="1" si="683"/>
        <v>#VALUE!</v>
      </c>
      <c r="S233" s="119">
        <f t="shared" si="762"/>
        <v>3.1349999999999993</v>
      </c>
      <c r="T233" s="115" t="e">
        <f>VLOOKUP(TRIM($F233),Reference!B:C,2,0)</f>
        <v>#VALUE!</v>
      </c>
      <c r="U233" s="120">
        <f t="shared" ca="1" si="763"/>
        <v>0</v>
      </c>
      <c r="V233" s="120" t="str">
        <f t="shared" si="670"/>
        <v>TCS22MAY3500CE</v>
      </c>
      <c r="W233" s="158" t="e">
        <f>VLOOKUP($V233,Reference!BA:BD,4,0)</f>
        <v>#N/A</v>
      </c>
      <c r="X233" s="160">
        <f t="shared" ca="1" si="671"/>
        <v>0</v>
      </c>
      <c r="Y233" s="160">
        <f t="shared" ca="1" si="672"/>
        <v>0</v>
      </c>
      <c r="Z233" s="160">
        <f t="shared" ca="1" si="686"/>
        <v>0</v>
      </c>
      <c r="AA233" s="160">
        <f t="shared" ca="1" si="673"/>
        <v>0</v>
      </c>
      <c r="AB233" s="160">
        <f t="shared" ca="1" si="674"/>
        <v>0</v>
      </c>
      <c r="AC233" s="119">
        <f t="shared" ca="1" si="675"/>
        <v>0</v>
      </c>
      <c r="AD233" s="115">
        <f t="shared" ca="1" si="764"/>
        <v>-1.3068493150684932</v>
      </c>
      <c r="AE233" s="115">
        <f t="shared" si="765"/>
        <v>20</v>
      </c>
      <c r="AF233" s="115"/>
      <c r="AG233" s="115"/>
      <c r="AH233" s="115">
        <f t="shared" si="755"/>
        <v>2.3512499999999998</v>
      </c>
      <c r="AI233" s="115"/>
      <c r="AJ233" s="115">
        <f t="shared" si="756"/>
        <v>0</v>
      </c>
      <c r="AK233" s="115"/>
      <c r="AM233" s="154"/>
      <c r="AN233" s="154"/>
      <c r="AO233" s="154"/>
      <c r="AP233" s="154"/>
      <c r="AQ233" s="154"/>
      <c r="AR233" s="154"/>
      <c r="AS233" s="154"/>
      <c r="AT233" s="154"/>
      <c r="AU233" s="154"/>
      <c r="AV233" s="154"/>
      <c r="AW233" s="154"/>
      <c r="AX233" s="154"/>
      <c r="AY233" s="154"/>
      <c r="AZ233" s="154"/>
      <c r="BA233" s="154"/>
      <c r="BB233" s="154"/>
      <c r="BC233" s="154"/>
      <c r="BD233" s="154"/>
      <c r="BE233" s="154"/>
      <c r="BF233" s="154"/>
      <c r="BG233" s="154"/>
      <c r="BS233" s="11">
        <v>2</v>
      </c>
      <c r="BT233" s="11">
        <v>44491</v>
      </c>
      <c r="BU233" s="11" t="s">
        <v>8</v>
      </c>
      <c r="BV233" s="11" t="s">
        <v>482</v>
      </c>
      <c r="BW233" s="11" t="s">
        <v>502</v>
      </c>
      <c r="BX233" s="11">
        <v>18400</v>
      </c>
      <c r="BY233" s="11">
        <v>41.7</v>
      </c>
      <c r="BZ233" s="11">
        <v>47.945</v>
      </c>
      <c r="CA233" s="11">
        <v>-3216.6708800000001</v>
      </c>
      <c r="CB233" s="11">
        <v>1.1497601918465228</v>
      </c>
      <c r="CC233" s="11">
        <v>500</v>
      </c>
      <c r="CD233" s="11">
        <v>50</v>
      </c>
      <c r="CE233" s="11">
        <v>20850</v>
      </c>
    </row>
    <row r="234" spans="1:83" hidden="1">
      <c r="A234" s="13">
        <f t="shared" si="753"/>
        <v>227</v>
      </c>
      <c r="B234" s="123">
        <v>44692</v>
      </c>
      <c r="C234" s="116" t="s">
        <v>8</v>
      </c>
      <c r="D234" s="116">
        <v>1</v>
      </c>
      <c r="E234" s="115" t="s">
        <v>481</v>
      </c>
      <c r="F234" s="116" t="s">
        <v>90</v>
      </c>
      <c r="G234" s="115">
        <v>3500</v>
      </c>
      <c r="H234" s="117">
        <v>44707</v>
      </c>
      <c r="I234" s="115">
        <v>150</v>
      </c>
      <c r="J234" s="115">
        <v>31.9</v>
      </c>
      <c r="K234" s="115">
        <v>1.25</v>
      </c>
      <c r="L234" s="119">
        <f t="shared" ref="L234:L236" ca="1" si="766">IF(AND(K234&lt;&gt;0,I234&lt;&gt;0),(IF(C234="B",1,-1))*(K234-J234)*I234-AK234*2,0)*$D234*IF(MONTH($B$2)=MONTH($H234),1,0)</f>
        <v>0</v>
      </c>
      <c r="M234" s="119">
        <f t="shared" ref="M234:M236" si="767">IF(AND(K234&lt;&gt;0,I234&lt;&gt;0),(IF(C234="B",1,-1))*(K234-J234)*I234-AK234*2,0)*$D234</f>
        <v>4597.5</v>
      </c>
      <c r="N234" s="115">
        <f t="shared" ref="N234:N236" si="768">K234/$J234</f>
        <v>3.918495297805643E-2</v>
      </c>
      <c r="O234" s="156">
        <f t="shared" ref="O234:O236" si="769">J234*(1+$O$6*IF(C234="B",-1,1))</f>
        <v>39.875</v>
      </c>
      <c r="P234" s="160">
        <f t="shared" si="754"/>
        <v>4785</v>
      </c>
      <c r="Q234" s="160" t="e">
        <f t="shared" ref="Q234:Q236" si="770">(W234-J234)*I234*IF(C234="B",1,-1)*IF(K234=0,1,0)</f>
        <v>#N/A</v>
      </c>
      <c r="R234" s="153" t="e">
        <f t="shared" ca="1" si="683"/>
        <v>#VALUE!</v>
      </c>
      <c r="S234" s="119">
        <f t="shared" ref="S234:S236" si="771">(1-$S$6)*J234</f>
        <v>3.1899999999999991</v>
      </c>
      <c r="T234" s="115" t="e">
        <f>VLOOKUP(TRIM($F234),Reference!B:C,2,0)</f>
        <v>#VALUE!</v>
      </c>
      <c r="U234" s="120">
        <f t="shared" ref="U234:U236" ca="1" si="772">AC234</f>
        <v>0</v>
      </c>
      <c r="V234" s="120" t="str">
        <f t="shared" si="670"/>
        <v>TCS22MAY3500CE</v>
      </c>
      <c r="W234" s="158" t="e">
        <f>VLOOKUP($V234,Reference!BA:BD,4,0)</f>
        <v>#N/A</v>
      </c>
      <c r="X234" s="160">
        <f t="shared" ca="1" si="671"/>
        <v>0</v>
      </c>
      <c r="Y234" s="160">
        <f t="shared" ca="1" si="672"/>
        <v>0</v>
      </c>
      <c r="Z234" s="160">
        <f t="shared" ca="1" si="686"/>
        <v>0</v>
      </c>
      <c r="AA234" s="160">
        <f t="shared" ca="1" si="673"/>
        <v>0</v>
      </c>
      <c r="AB234" s="160">
        <f t="shared" ca="1" si="674"/>
        <v>0</v>
      </c>
      <c r="AC234" s="119">
        <f t="shared" ca="1" si="675"/>
        <v>0</v>
      </c>
      <c r="AD234" s="115">
        <f t="shared" ref="AD234:AD236" ca="1" si="773">(H234-TODAY())/365</f>
        <v>-1.3068493150684932</v>
      </c>
      <c r="AE234" s="115">
        <f t="shared" ref="AE234:AE236" si="774">IF(I234&lt;&gt;0,20,0)</f>
        <v>20</v>
      </c>
      <c r="AF234" s="115"/>
      <c r="AG234" s="115"/>
      <c r="AH234" s="115">
        <f t="shared" si="755"/>
        <v>2.3925000000000001</v>
      </c>
      <c r="AI234" s="115"/>
      <c r="AJ234" s="115">
        <f t="shared" si="756"/>
        <v>0</v>
      </c>
      <c r="AK234" s="115"/>
      <c r="AM234" s="154"/>
      <c r="AN234" s="154"/>
      <c r="AO234" s="154"/>
      <c r="AP234" s="154"/>
      <c r="AQ234" s="154"/>
      <c r="AR234" s="154"/>
      <c r="AS234" s="154"/>
      <c r="AT234" s="154"/>
      <c r="AU234" s="154"/>
      <c r="AV234" s="154"/>
      <c r="AW234" s="154"/>
      <c r="AX234" s="154"/>
      <c r="AY234" s="154"/>
      <c r="AZ234" s="154"/>
      <c r="BA234" s="154"/>
      <c r="BB234" s="154"/>
      <c r="BC234" s="154"/>
      <c r="BD234" s="154"/>
      <c r="BE234" s="154"/>
      <c r="BF234" s="154"/>
      <c r="BG234" s="154"/>
      <c r="BS234" s="11">
        <v>2</v>
      </c>
      <c r="BT234" s="11">
        <v>44491</v>
      </c>
      <c r="BU234" s="11" t="s">
        <v>8</v>
      </c>
      <c r="BV234" s="11" t="s">
        <v>482</v>
      </c>
      <c r="BW234" s="11" t="s">
        <v>502</v>
      </c>
      <c r="BX234" s="11">
        <v>18400</v>
      </c>
      <c r="BY234" s="11">
        <v>41.7</v>
      </c>
      <c r="BZ234" s="11">
        <v>47.945</v>
      </c>
      <c r="CA234" s="11">
        <v>-3216.6708800000001</v>
      </c>
      <c r="CB234" s="11">
        <v>1.1497601918465228</v>
      </c>
      <c r="CC234" s="11">
        <v>500</v>
      </c>
      <c r="CD234" s="11">
        <v>50</v>
      </c>
      <c r="CE234" s="11">
        <v>20850</v>
      </c>
    </row>
    <row r="235" spans="1:83" hidden="1">
      <c r="A235" s="13">
        <f t="shared" si="753"/>
        <v>228</v>
      </c>
      <c r="B235" s="123">
        <v>44692</v>
      </c>
      <c r="C235" s="116" t="s">
        <v>8</v>
      </c>
      <c r="D235" s="116">
        <v>1</v>
      </c>
      <c r="E235" s="115" t="s">
        <v>481</v>
      </c>
      <c r="F235" s="116" t="s">
        <v>284</v>
      </c>
      <c r="G235" s="115">
        <v>420</v>
      </c>
      <c r="H235" s="117">
        <v>44707</v>
      </c>
      <c r="I235" s="115">
        <v>1425</v>
      </c>
      <c r="J235" s="115">
        <v>4.75</v>
      </c>
      <c r="K235" s="115">
        <v>0.5</v>
      </c>
      <c r="L235" s="119">
        <f t="shared" ca="1" si="766"/>
        <v>0</v>
      </c>
      <c r="M235" s="119">
        <f t="shared" si="767"/>
        <v>6056.25</v>
      </c>
      <c r="N235" s="115">
        <f t="shared" si="768"/>
        <v>0.10526315789473684</v>
      </c>
      <c r="O235" s="156">
        <f t="shared" si="769"/>
        <v>5.9375</v>
      </c>
      <c r="P235" s="160">
        <f t="shared" si="754"/>
        <v>6768.75</v>
      </c>
      <c r="Q235" s="160" t="e">
        <f t="shared" si="770"/>
        <v>#N/A</v>
      </c>
      <c r="R235" s="153" t="e">
        <f t="shared" ca="1" si="683"/>
        <v>#VALUE!</v>
      </c>
      <c r="S235" s="119">
        <f t="shared" si="771"/>
        <v>0.47499999999999987</v>
      </c>
      <c r="T235" s="115" t="e">
        <f>VLOOKUP(TRIM($F235),Reference!B:C,2,0)</f>
        <v>#VALUE!</v>
      </c>
      <c r="U235" s="170">
        <f t="shared" ca="1" si="772"/>
        <v>0</v>
      </c>
      <c r="V235" s="120" t="str">
        <f t="shared" si="670"/>
        <v>TATAMOTORS22MAY420CE</v>
      </c>
      <c r="W235" s="158" t="e">
        <f>VLOOKUP($V235,Reference!BA:BD,4,0)</f>
        <v>#N/A</v>
      </c>
      <c r="X235" s="160">
        <f t="shared" ca="1" si="671"/>
        <v>0</v>
      </c>
      <c r="Y235" s="160">
        <f t="shared" ca="1" si="672"/>
        <v>0</v>
      </c>
      <c r="Z235" s="160">
        <f t="shared" ca="1" si="686"/>
        <v>0</v>
      </c>
      <c r="AA235" s="160">
        <f t="shared" ca="1" si="673"/>
        <v>0</v>
      </c>
      <c r="AB235" s="160">
        <f t="shared" ca="1" si="674"/>
        <v>0</v>
      </c>
      <c r="AC235" s="119">
        <f t="shared" ca="1" si="675"/>
        <v>0</v>
      </c>
      <c r="AD235" s="115">
        <f t="shared" ca="1" si="773"/>
        <v>-1.3068493150684932</v>
      </c>
      <c r="AE235" s="115">
        <f t="shared" si="774"/>
        <v>20</v>
      </c>
      <c r="AF235" s="115"/>
      <c r="AG235" s="115"/>
      <c r="AH235" s="115">
        <f t="shared" si="755"/>
        <v>3.3843749999999999</v>
      </c>
      <c r="AI235" s="115"/>
      <c r="AJ235" s="115">
        <f t="shared" si="756"/>
        <v>0</v>
      </c>
      <c r="AK235" s="115"/>
      <c r="AL235" s="142"/>
      <c r="AM235" s="153"/>
      <c r="AN235" s="153"/>
      <c r="AO235" s="153"/>
      <c r="AP235" s="153"/>
      <c r="AQ235" s="153"/>
      <c r="AR235" s="153"/>
      <c r="AS235" s="153"/>
      <c r="AT235" s="153"/>
      <c r="AU235" s="153"/>
      <c r="AV235" s="153"/>
      <c r="AW235" s="153"/>
      <c r="AX235" s="153"/>
      <c r="AY235" s="153"/>
      <c r="AZ235" s="153"/>
      <c r="BA235" s="153"/>
      <c r="BB235" s="153"/>
      <c r="BC235" s="153"/>
      <c r="BD235" s="153"/>
      <c r="BE235" s="153"/>
      <c r="BF235" s="153"/>
      <c r="BG235" s="153"/>
      <c r="BS235" s="13">
        <v>2</v>
      </c>
      <c r="BT235" s="123">
        <v>44491</v>
      </c>
      <c r="BU235" s="116" t="s">
        <v>8</v>
      </c>
      <c r="BV235" s="115" t="s">
        <v>482</v>
      </c>
      <c r="BW235" s="116" t="s">
        <v>502</v>
      </c>
      <c r="BX235" s="115">
        <v>18400</v>
      </c>
      <c r="BY235" s="115">
        <v>41.7</v>
      </c>
      <c r="BZ235" s="115">
        <v>47.945</v>
      </c>
      <c r="CA235" s="119">
        <v>-3216.6708800000001</v>
      </c>
      <c r="CB235" s="115">
        <v>1.1497601918465228</v>
      </c>
      <c r="CC235" s="115">
        <v>500</v>
      </c>
      <c r="CD235" s="115">
        <v>50</v>
      </c>
      <c r="CE235" s="119">
        <v>20850</v>
      </c>
    </row>
    <row r="236" spans="1:83" hidden="1">
      <c r="A236" s="13">
        <f t="shared" si="753"/>
        <v>229</v>
      </c>
      <c r="B236" s="123">
        <v>44692</v>
      </c>
      <c r="C236" s="116" t="s">
        <v>8</v>
      </c>
      <c r="D236" s="116">
        <v>1</v>
      </c>
      <c r="E236" s="115" t="s">
        <v>481</v>
      </c>
      <c r="F236" s="116" t="s">
        <v>130</v>
      </c>
      <c r="G236" s="115">
        <v>240</v>
      </c>
      <c r="H236" s="117">
        <v>44707</v>
      </c>
      <c r="I236" s="115">
        <v>3375</v>
      </c>
      <c r="J236" s="115">
        <v>3.25</v>
      </c>
      <c r="K236" s="115">
        <v>0.1</v>
      </c>
      <c r="L236" s="119">
        <f t="shared" ca="1" si="766"/>
        <v>0</v>
      </c>
      <c r="M236" s="119">
        <f t="shared" si="767"/>
        <v>10631.25</v>
      </c>
      <c r="N236" s="115">
        <f t="shared" si="768"/>
        <v>3.0769230769230771E-2</v>
      </c>
      <c r="O236" s="156">
        <f t="shared" si="769"/>
        <v>4.0625</v>
      </c>
      <c r="P236" s="160">
        <f t="shared" si="754"/>
        <v>10968.75</v>
      </c>
      <c r="Q236" s="160" t="e">
        <f t="shared" si="770"/>
        <v>#N/A</v>
      </c>
      <c r="R236" s="153" t="e">
        <f t="shared" ca="1" si="683"/>
        <v>#VALUE!</v>
      </c>
      <c r="S236" s="119">
        <f t="shared" si="771"/>
        <v>0.32499999999999996</v>
      </c>
      <c r="T236" s="115" t="e">
        <f>VLOOKUP(TRIM($F236),Reference!B:C,2,0)</f>
        <v>#VALUE!</v>
      </c>
      <c r="U236" s="170">
        <f t="shared" ca="1" si="772"/>
        <v>0</v>
      </c>
      <c r="V236" s="120" t="str">
        <f t="shared" si="670"/>
        <v>TATAPOWER22MAY240CE</v>
      </c>
      <c r="W236" s="158" t="e">
        <f>VLOOKUP($V236,Reference!BA:BD,4,0)</f>
        <v>#N/A</v>
      </c>
      <c r="X236" s="160">
        <f t="shared" ca="1" si="671"/>
        <v>0</v>
      </c>
      <c r="Y236" s="160">
        <f t="shared" ca="1" si="672"/>
        <v>0</v>
      </c>
      <c r="Z236" s="160">
        <f t="shared" ca="1" si="686"/>
        <v>0</v>
      </c>
      <c r="AA236" s="160">
        <f t="shared" ca="1" si="673"/>
        <v>0</v>
      </c>
      <c r="AB236" s="160">
        <f t="shared" ca="1" si="674"/>
        <v>0</v>
      </c>
      <c r="AC236" s="119">
        <f t="shared" ca="1" si="675"/>
        <v>0</v>
      </c>
      <c r="AD236" s="115">
        <f t="shared" ca="1" si="773"/>
        <v>-1.3068493150684932</v>
      </c>
      <c r="AE236" s="115">
        <f t="shared" si="774"/>
        <v>20</v>
      </c>
      <c r="AF236" s="115"/>
      <c r="AG236" s="115"/>
      <c r="AH236" s="115">
        <f t="shared" si="755"/>
        <v>5.484375</v>
      </c>
      <c r="AI236" s="115"/>
      <c r="AJ236" s="115">
        <f t="shared" si="756"/>
        <v>0</v>
      </c>
      <c r="AK236" s="115"/>
      <c r="AL236" s="142"/>
      <c r="AM236" s="153"/>
      <c r="AN236" s="153"/>
      <c r="AO236" s="153"/>
      <c r="AP236" s="153"/>
      <c r="AQ236" s="153"/>
      <c r="AR236" s="153"/>
      <c r="AS236" s="153"/>
      <c r="AT236" s="153"/>
      <c r="AU236" s="153"/>
      <c r="AV236" s="153"/>
      <c r="AW236" s="153"/>
      <c r="AX236" s="153"/>
      <c r="AY236" s="153"/>
      <c r="AZ236" s="153"/>
      <c r="BA236" s="153"/>
      <c r="BB236" s="153"/>
      <c r="BC236" s="153"/>
      <c r="BD236" s="153"/>
      <c r="BE236" s="153"/>
      <c r="BF236" s="153"/>
      <c r="BG236" s="153"/>
      <c r="BS236" s="13">
        <v>2</v>
      </c>
      <c r="BT236" s="123">
        <v>44491</v>
      </c>
      <c r="BU236" s="116" t="s">
        <v>8</v>
      </c>
      <c r="BV236" s="115" t="s">
        <v>482</v>
      </c>
      <c r="BW236" s="116" t="s">
        <v>502</v>
      </c>
      <c r="BX236" s="115">
        <v>18400</v>
      </c>
      <c r="BY236" s="115">
        <v>41.7</v>
      </c>
      <c r="BZ236" s="115">
        <v>47.945</v>
      </c>
      <c r="CA236" s="119">
        <v>-3216.6708800000001</v>
      </c>
      <c r="CB236" s="115">
        <v>1.1497601918465228</v>
      </c>
      <c r="CC236" s="115">
        <v>500</v>
      </c>
      <c r="CD236" s="115">
        <v>50</v>
      </c>
      <c r="CE236" s="119">
        <v>20850</v>
      </c>
    </row>
    <row r="237" spans="1:83" hidden="1">
      <c r="A237" s="13">
        <f t="shared" si="753"/>
        <v>230</v>
      </c>
      <c r="B237" s="123">
        <v>44692</v>
      </c>
      <c r="C237" s="116" t="s">
        <v>8</v>
      </c>
      <c r="D237" s="116">
        <v>1</v>
      </c>
      <c r="E237" s="115" t="s">
        <v>481</v>
      </c>
      <c r="F237" s="116" t="s">
        <v>130</v>
      </c>
      <c r="G237" s="115">
        <v>255</v>
      </c>
      <c r="H237" s="117">
        <v>44707</v>
      </c>
      <c r="I237" s="115">
        <v>3375</v>
      </c>
      <c r="J237" s="115">
        <v>1.45</v>
      </c>
      <c r="K237" s="115">
        <v>0.05</v>
      </c>
      <c r="L237" s="119">
        <f t="shared" ref="L237:L241" ca="1" si="775">IF(AND(K237&lt;&gt;0,I237&lt;&gt;0),(IF(C237="B",1,-1))*(K237-J237)*I237-AK237*2,0)*$D237*IF(MONTH($B$2)=MONTH($H237),1,0)</f>
        <v>0</v>
      </c>
      <c r="M237" s="119">
        <f t="shared" ref="M237:M241" si="776">IF(AND(K237&lt;&gt;0,I237&lt;&gt;0),(IF(C237="B",1,-1))*(K237-J237)*I237-AK237*2,0)*$D237</f>
        <v>4725</v>
      </c>
      <c r="N237" s="115">
        <f t="shared" ref="N237:N241" si="777">K237/$J237</f>
        <v>3.4482758620689655E-2</v>
      </c>
      <c r="O237" s="156">
        <f t="shared" ref="O237:O241" si="778">J237*(1+$O$6*IF(C237="B",-1,1))</f>
        <v>1.8125</v>
      </c>
      <c r="P237" s="160">
        <f t="shared" si="754"/>
        <v>4893.75</v>
      </c>
      <c r="Q237" s="160" t="e">
        <f t="shared" ref="Q237:Q241" si="779">(W237-J237)*I237*IF(C237="B",1,-1)*IF(K237=0,1,0)</f>
        <v>#N/A</v>
      </c>
      <c r="R237" s="153" t="e">
        <f t="shared" ca="1" si="683"/>
        <v>#VALUE!</v>
      </c>
      <c r="S237" s="119">
        <f t="shared" ref="S237:S241" si="780">(1-$S$6)*J237</f>
        <v>0.14499999999999996</v>
      </c>
      <c r="T237" s="115" t="e">
        <f>VLOOKUP(TRIM($F237),Reference!B:C,2,0)</f>
        <v>#VALUE!</v>
      </c>
      <c r="U237" s="170">
        <f t="shared" ref="U237:U241" ca="1" si="781">AC237</f>
        <v>0</v>
      </c>
      <c r="V237" s="120" t="str">
        <f t="shared" si="670"/>
        <v>TATAPOWER22MAY255CE</v>
      </c>
      <c r="W237" s="158" t="e">
        <f>VLOOKUP($V237,Reference!BA:BD,4,0)</f>
        <v>#N/A</v>
      </c>
      <c r="X237" s="160">
        <f t="shared" ca="1" si="671"/>
        <v>0</v>
      </c>
      <c r="Y237" s="160">
        <f t="shared" ca="1" si="672"/>
        <v>0</v>
      </c>
      <c r="Z237" s="160">
        <f t="shared" ca="1" si="686"/>
        <v>0</v>
      </c>
      <c r="AA237" s="160">
        <f t="shared" ca="1" si="673"/>
        <v>0</v>
      </c>
      <c r="AB237" s="160">
        <f t="shared" ca="1" si="674"/>
        <v>0</v>
      </c>
      <c r="AC237" s="119">
        <f t="shared" ca="1" si="675"/>
        <v>0</v>
      </c>
      <c r="AD237" s="115">
        <f t="shared" ref="AD237:AD241" ca="1" si="782">(H237-TODAY())/365</f>
        <v>-1.3068493150684932</v>
      </c>
      <c r="AE237" s="115">
        <f t="shared" ref="AE237:AE241" si="783">IF(I237&lt;&gt;0,20,0)</f>
        <v>20</v>
      </c>
      <c r="AF237" s="115"/>
      <c r="AG237" s="115"/>
      <c r="AH237" s="115">
        <f t="shared" si="755"/>
        <v>2.4468749999999999</v>
      </c>
      <c r="AI237" s="115"/>
      <c r="AJ237" s="115">
        <f t="shared" si="756"/>
        <v>0</v>
      </c>
      <c r="AK237" s="115"/>
      <c r="AL237" s="142"/>
      <c r="AM237" s="153"/>
      <c r="AN237" s="153"/>
      <c r="AO237" s="153"/>
      <c r="AP237" s="153"/>
      <c r="AQ237" s="153"/>
      <c r="AR237" s="153"/>
      <c r="AS237" s="153"/>
      <c r="AT237" s="153"/>
      <c r="AU237" s="153"/>
      <c r="AV237" s="153"/>
      <c r="AW237" s="153"/>
      <c r="AX237" s="153"/>
      <c r="AY237" s="153"/>
      <c r="AZ237" s="153"/>
      <c r="BA237" s="153"/>
      <c r="BB237" s="153"/>
      <c r="BC237" s="153"/>
      <c r="BD237" s="153"/>
      <c r="BE237" s="153"/>
      <c r="BF237" s="153"/>
      <c r="BG237" s="153"/>
      <c r="BS237" s="13">
        <v>2</v>
      </c>
      <c r="BT237" s="123">
        <v>44491</v>
      </c>
      <c r="BU237" s="116" t="s">
        <v>8</v>
      </c>
      <c r="BV237" s="115" t="s">
        <v>482</v>
      </c>
      <c r="BW237" s="116" t="s">
        <v>502</v>
      </c>
      <c r="BX237" s="115">
        <v>18400</v>
      </c>
      <c r="BY237" s="115">
        <v>41.7</v>
      </c>
      <c r="BZ237" s="115">
        <v>47.945</v>
      </c>
      <c r="CA237" s="119">
        <v>-3216.6708800000001</v>
      </c>
      <c r="CB237" s="115">
        <v>1.1497601918465228</v>
      </c>
      <c r="CC237" s="115">
        <v>500</v>
      </c>
      <c r="CD237" s="115">
        <v>50</v>
      </c>
      <c r="CE237" s="119">
        <v>20850</v>
      </c>
    </row>
    <row r="238" spans="1:83" hidden="1">
      <c r="A238" s="13">
        <f t="shared" si="753"/>
        <v>231</v>
      </c>
      <c r="B238" s="123">
        <v>44692</v>
      </c>
      <c r="C238" s="116" t="s">
        <v>8</v>
      </c>
      <c r="D238" s="116">
        <v>1</v>
      </c>
      <c r="E238" s="115" t="s">
        <v>481</v>
      </c>
      <c r="F238" s="116" t="s">
        <v>399</v>
      </c>
      <c r="G238" s="115">
        <v>1640</v>
      </c>
      <c r="H238" s="117">
        <v>44707</v>
      </c>
      <c r="I238" s="115">
        <v>575</v>
      </c>
      <c r="J238" s="115">
        <v>18.7</v>
      </c>
      <c r="K238" s="115">
        <v>0.05</v>
      </c>
      <c r="L238" s="119">
        <f t="shared" ca="1" si="775"/>
        <v>0</v>
      </c>
      <c r="M238" s="119">
        <f t="shared" si="776"/>
        <v>10723.75</v>
      </c>
      <c r="N238" s="115">
        <f t="shared" si="777"/>
        <v>2.6737967914438505E-3</v>
      </c>
      <c r="O238" s="156">
        <f t="shared" si="778"/>
        <v>23.375</v>
      </c>
      <c r="P238" s="160">
        <f t="shared" si="754"/>
        <v>10752.5</v>
      </c>
      <c r="Q238" s="160" t="e">
        <f t="shared" si="779"/>
        <v>#N/A</v>
      </c>
      <c r="R238" s="153" t="e">
        <f t="shared" ca="1" si="683"/>
        <v>#VALUE!</v>
      </c>
      <c r="S238" s="119">
        <f t="shared" si="780"/>
        <v>1.8699999999999994</v>
      </c>
      <c r="T238" s="115" t="e">
        <f>VLOOKUP(TRIM($F238),Reference!B:C,2,0)</f>
        <v>#VALUE!</v>
      </c>
      <c r="U238" s="170">
        <f t="shared" ca="1" si="781"/>
        <v>0</v>
      </c>
      <c r="V238" s="120" t="str">
        <f t="shared" si="670"/>
        <v>LT22MAY1640CE</v>
      </c>
      <c r="W238" s="158" t="e">
        <f>VLOOKUP($V238,Reference!BA:BD,4,0)</f>
        <v>#N/A</v>
      </c>
      <c r="X238" s="160">
        <f t="shared" ca="1" si="671"/>
        <v>0</v>
      </c>
      <c r="Y238" s="160">
        <f t="shared" ca="1" si="672"/>
        <v>0</v>
      </c>
      <c r="Z238" s="160">
        <f t="shared" ca="1" si="686"/>
        <v>0</v>
      </c>
      <c r="AA238" s="160">
        <f t="shared" ca="1" si="673"/>
        <v>0</v>
      </c>
      <c r="AB238" s="160">
        <f t="shared" ca="1" si="674"/>
        <v>0</v>
      </c>
      <c r="AC238" s="119">
        <f t="shared" ca="1" si="675"/>
        <v>0</v>
      </c>
      <c r="AD238" s="115">
        <f t="shared" ca="1" si="782"/>
        <v>-1.3068493150684932</v>
      </c>
      <c r="AE238" s="115">
        <f t="shared" si="783"/>
        <v>20</v>
      </c>
      <c r="AF238" s="115"/>
      <c r="AG238" s="115"/>
      <c r="AH238" s="115">
        <f t="shared" si="755"/>
        <v>5.3762499999999998</v>
      </c>
      <c r="AI238" s="115"/>
      <c r="AJ238" s="115">
        <f t="shared" si="756"/>
        <v>0</v>
      </c>
      <c r="AK238" s="115"/>
      <c r="AL238" s="142"/>
      <c r="AM238" s="153"/>
      <c r="AN238" s="153"/>
      <c r="AO238" s="153"/>
      <c r="AP238" s="153"/>
      <c r="AQ238" s="153"/>
      <c r="AR238" s="153"/>
      <c r="AS238" s="153"/>
      <c r="AT238" s="153"/>
      <c r="AU238" s="153"/>
      <c r="AV238" s="153"/>
      <c r="AW238" s="153"/>
      <c r="AX238" s="153"/>
      <c r="AY238" s="153"/>
      <c r="AZ238" s="153"/>
      <c r="BA238" s="153"/>
      <c r="BB238" s="153"/>
      <c r="BC238" s="153"/>
      <c r="BD238" s="153"/>
      <c r="BE238" s="153"/>
      <c r="BF238" s="153"/>
      <c r="BG238" s="153"/>
      <c r="BS238" s="13">
        <v>2</v>
      </c>
      <c r="BT238" s="123">
        <v>44491</v>
      </c>
      <c r="BU238" s="116" t="s">
        <v>8</v>
      </c>
      <c r="BV238" s="115" t="s">
        <v>482</v>
      </c>
      <c r="BW238" s="116" t="s">
        <v>502</v>
      </c>
      <c r="BX238" s="115">
        <v>18400</v>
      </c>
      <c r="BY238" s="115">
        <v>41.7</v>
      </c>
      <c r="BZ238" s="115">
        <v>47.945</v>
      </c>
      <c r="CA238" s="119">
        <v>-3216.6708800000001</v>
      </c>
      <c r="CB238" s="115">
        <v>1.1497601918465228</v>
      </c>
      <c r="CC238" s="115">
        <v>500</v>
      </c>
      <c r="CD238" s="115">
        <v>50</v>
      </c>
      <c r="CE238" s="119">
        <v>20850</v>
      </c>
    </row>
    <row r="239" spans="1:83" hidden="1">
      <c r="A239" s="13">
        <f t="shared" si="753"/>
        <v>232</v>
      </c>
      <c r="B239" s="123">
        <v>44692</v>
      </c>
      <c r="C239" s="116" t="s">
        <v>8</v>
      </c>
      <c r="D239" s="116">
        <v>1</v>
      </c>
      <c r="E239" s="115" t="s">
        <v>481</v>
      </c>
      <c r="F239" s="116" t="s">
        <v>399</v>
      </c>
      <c r="G239" s="115">
        <v>1620</v>
      </c>
      <c r="H239" s="117">
        <v>44707</v>
      </c>
      <c r="I239" s="115">
        <v>575</v>
      </c>
      <c r="J239" s="115">
        <v>23.3</v>
      </c>
      <c r="K239" s="115">
        <v>0.05</v>
      </c>
      <c r="L239" s="119">
        <f t="shared" ca="1" si="775"/>
        <v>0</v>
      </c>
      <c r="M239" s="119">
        <f t="shared" si="776"/>
        <v>13368.75</v>
      </c>
      <c r="N239" s="115">
        <f t="shared" si="777"/>
        <v>2.1459227467811159E-3</v>
      </c>
      <c r="O239" s="156">
        <f t="shared" si="778"/>
        <v>29.125</v>
      </c>
      <c r="P239" s="160">
        <f t="shared" si="754"/>
        <v>13397.5</v>
      </c>
      <c r="Q239" s="160" t="e">
        <f t="shared" si="779"/>
        <v>#N/A</v>
      </c>
      <c r="R239" s="153" t="e">
        <f t="shared" ca="1" si="683"/>
        <v>#VALUE!</v>
      </c>
      <c r="S239" s="119">
        <f t="shared" si="780"/>
        <v>2.3299999999999996</v>
      </c>
      <c r="T239" s="115" t="e">
        <f>VLOOKUP(TRIM($F239),Reference!B:C,2,0)</f>
        <v>#VALUE!</v>
      </c>
      <c r="U239" s="170">
        <f t="shared" ca="1" si="781"/>
        <v>0</v>
      </c>
      <c r="V239" s="120" t="str">
        <f t="shared" si="670"/>
        <v>LT22MAY1620CE</v>
      </c>
      <c r="W239" s="158" t="e">
        <f>VLOOKUP($V239,Reference!BA:BD,4,0)</f>
        <v>#N/A</v>
      </c>
      <c r="X239" s="160">
        <f t="shared" ca="1" si="671"/>
        <v>0</v>
      </c>
      <c r="Y239" s="160">
        <f t="shared" ca="1" si="672"/>
        <v>0</v>
      </c>
      <c r="Z239" s="160">
        <f t="shared" ca="1" si="686"/>
        <v>0</v>
      </c>
      <c r="AA239" s="160">
        <f t="shared" ca="1" si="673"/>
        <v>0</v>
      </c>
      <c r="AB239" s="160">
        <f t="shared" ca="1" si="674"/>
        <v>0</v>
      </c>
      <c r="AC239" s="119">
        <f t="shared" ca="1" si="675"/>
        <v>0</v>
      </c>
      <c r="AD239" s="115">
        <f t="shared" ca="1" si="782"/>
        <v>-1.3068493150684932</v>
      </c>
      <c r="AE239" s="115">
        <f t="shared" si="783"/>
        <v>20</v>
      </c>
      <c r="AF239" s="115"/>
      <c r="AG239" s="115"/>
      <c r="AH239" s="115">
        <f t="shared" si="755"/>
        <v>6.6987500000000004</v>
      </c>
      <c r="AI239" s="115"/>
      <c r="AJ239" s="115">
        <f t="shared" si="756"/>
        <v>0</v>
      </c>
      <c r="AK239" s="115"/>
      <c r="AL239" s="142"/>
      <c r="AM239" s="153"/>
      <c r="AN239" s="153"/>
      <c r="AO239" s="153"/>
      <c r="AP239" s="153"/>
      <c r="AQ239" s="153"/>
      <c r="AR239" s="153"/>
      <c r="AS239" s="153"/>
      <c r="AT239" s="153"/>
      <c r="AU239" s="153"/>
      <c r="AV239" s="153"/>
      <c r="AW239" s="153"/>
      <c r="AX239" s="153"/>
      <c r="AY239" s="153"/>
      <c r="AZ239" s="153"/>
      <c r="BA239" s="153"/>
      <c r="BB239" s="153"/>
      <c r="BC239" s="153"/>
      <c r="BD239" s="153"/>
      <c r="BE239" s="153"/>
      <c r="BF239" s="153"/>
      <c r="BG239" s="153"/>
      <c r="BS239" s="13">
        <v>2</v>
      </c>
      <c r="BT239" s="123">
        <v>44491</v>
      </c>
      <c r="BU239" s="116" t="s">
        <v>8</v>
      </c>
      <c r="BV239" s="115" t="s">
        <v>482</v>
      </c>
      <c r="BW239" s="116" t="s">
        <v>502</v>
      </c>
      <c r="BX239" s="115">
        <v>18400</v>
      </c>
      <c r="BY239" s="115">
        <v>41.7</v>
      </c>
      <c r="BZ239" s="115">
        <v>47.945</v>
      </c>
      <c r="CA239" s="119">
        <v>-3216.6708800000001</v>
      </c>
      <c r="CB239" s="115">
        <v>1.1497601918465228</v>
      </c>
      <c r="CC239" s="115">
        <v>500</v>
      </c>
      <c r="CD239" s="115">
        <v>50</v>
      </c>
      <c r="CE239" s="119">
        <v>20850</v>
      </c>
    </row>
    <row r="240" spans="1:83" hidden="1">
      <c r="A240" s="13">
        <f t="shared" si="753"/>
        <v>233</v>
      </c>
      <c r="B240" s="123">
        <v>44693</v>
      </c>
      <c r="C240" s="116" t="s">
        <v>6</v>
      </c>
      <c r="D240" s="116">
        <v>1</v>
      </c>
      <c r="E240" s="115" t="s">
        <v>632</v>
      </c>
      <c r="F240" s="116" t="s">
        <v>502</v>
      </c>
      <c r="G240" s="115"/>
      <c r="H240" s="117">
        <v>44742</v>
      </c>
      <c r="I240" s="115">
        <v>50</v>
      </c>
      <c r="J240" s="115">
        <v>15821.15</v>
      </c>
      <c r="K240" s="115">
        <v>16578.95</v>
      </c>
      <c r="L240" s="119">
        <f t="shared" ca="1" si="775"/>
        <v>0</v>
      </c>
      <c r="M240" s="119">
        <f t="shared" si="776"/>
        <v>37890.000000000058</v>
      </c>
      <c r="N240" s="115">
        <f t="shared" si="777"/>
        <v>1.0478979088119384</v>
      </c>
      <c r="O240" s="156">
        <f t="shared" si="778"/>
        <v>11865.862499999999</v>
      </c>
      <c r="P240" s="160">
        <f t="shared" si="754"/>
        <v>791057.5</v>
      </c>
      <c r="Q240" s="160" t="e">
        <f t="shared" si="779"/>
        <v>#N/A</v>
      </c>
      <c r="R240" s="153" t="e">
        <f t="shared" ca="1" si="683"/>
        <v>#VALUE!</v>
      </c>
      <c r="S240" s="119">
        <f t="shared" si="780"/>
        <v>1582.1149999999996</v>
      </c>
      <c r="T240" s="115" t="str">
        <f>VLOOKUP(TRIM($F240),Reference!B:C,2,0)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40" s="170">
        <f t="shared" ca="1" si="781"/>
        <v>0</v>
      </c>
      <c r="V240" s="120" t="str">
        <f t="shared" si="670"/>
        <v>NIFTY22JUNFUT</v>
      </c>
      <c r="W240" s="158" t="e">
        <f>VLOOKUP($V240,Reference!BA:BD,4,0)</f>
        <v>#N/A</v>
      </c>
      <c r="X240" s="160">
        <f t="shared" ca="1" si="671"/>
        <v>0</v>
      </c>
      <c r="Y240" s="160">
        <f t="shared" ca="1" si="672"/>
        <v>0</v>
      </c>
      <c r="Z240" s="160">
        <f t="shared" ca="1" si="686"/>
        <v>0</v>
      </c>
      <c r="AA240" s="160">
        <f t="shared" ca="1" si="673"/>
        <v>0</v>
      </c>
      <c r="AB240" s="160">
        <f t="shared" ca="1" si="674"/>
        <v>0</v>
      </c>
      <c r="AC240" s="119">
        <f t="shared" ca="1" si="675"/>
        <v>0</v>
      </c>
      <c r="AD240" s="115">
        <f t="shared" ca="1" si="782"/>
        <v>-1.210958904109589</v>
      </c>
      <c r="AE240" s="115">
        <f t="shared" si="783"/>
        <v>20</v>
      </c>
      <c r="AF240" s="115"/>
      <c r="AG240" s="115"/>
      <c r="AH240" s="115">
        <f t="shared" si="755"/>
        <v>0</v>
      </c>
      <c r="AI240" s="115"/>
      <c r="AJ240" s="115">
        <f t="shared" si="756"/>
        <v>23.731725000000001</v>
      </c>
      <c r="AK240" s="115"/>
      <c r="AL240" s="142"/>
      <c r="AM240" s="153"/>
      <c r="AN240" s="153"/>
      <c r="AO240" s="153"/>
      <c r="AP240" s="153"/>
      <c r="AQ240" s="153"/>
      <c r="AR240" s="153"/>
      <c r="AS240" s="153"/>
      <c r="AT240" s="153"/>
      <c r="AU240" s="153"/>
      <c r="AV240" s="153"/>
      <c r="AW240" s="153"/>
      <c r="AX240" s="153"/>
      <c r="AY240" s="153"/>
      <c r="AZ240" s="153"/>
      <c r="BA240" s="153"/>
      <c r="BB240" s="153"/>
      <c r="BC240" s="153"/>
      <c r="BD240" s="153"/>
      <c r="BE240" s="153"/>
      <c r="BF240" s="153"/>
      <c r="BG240" s="153"/>
      <c r="BS240" s="13">
        <v>2</v>
      </c>
      <c r="BT240" s="123">
        <v>44491</v>
      </c>
      <c r="BU240" s="116" t="s">
        <v>8</v>
      </c>
      <c r="BV240" s="115" t="s">
        <v>482</v>
      </c>
      <c r="BW240" s="116" t="s">
        <v>502</v>
      </c>
      <c r="BX240" s="115">
        <v>18400</v>
      </c>
      <c r="BY240" s="115">
        <v>41.7</v>
      </c>
      <c r="BZ240" s="115">
        <v>47.945</v>
      </c>
      <c r="CA240" s="119">
        <v>-3216.6708800000001</v>
      </c>
      <c r="CB240" s="115">
        <v>1.1497601918465228</v>
      </c>
      <c r="CC240" s="115">
        <v>500</v>
      </c>
      <c r="CD240" s="115">
        <v>50</v>
      </c>
      <c r="CE240" s="119">
        <v>20850</v>
      </c>
    </row>
    <row r="241" spans="1:83" hidden="1">
      <c r="A241" s="13">
        <f t="shared" si="753"/>
        <v>234</v>
      </c>
      <c r="B241" s="123">
        <v>44693</v>
      </c>
      <c r="C241" s="116" t="s">
        <v>8</v>
      </c>
      <c r="D241" s="116">
        <v>1</v>
      </c>
      <c r="E241" s="115" t="s">
        <v>481</v>
      </c>
      <c r="F241" s="116" t="s">
        <v>502</v>
      </c>
      <c r="G241" s="115">
        <v>16500</v>
      </c>
      <c r="H241" s="117">
        <v>44707</v>
      </c>
      <c r="I241" s="115">
        <v>50</v>
      </c>
      <c r="J241" s="115">
        <v>51.2</v>
      </c>
      <c r="K241" s="115">
        <v>0.3</v>
      </c>
      <c r="L241" s="119">
        <f t="shared" ca="1" si="775"/>
        <v>0</v>
      </c>
      <c r="M241" s="119">
        <f t="shared" si="776"/>
        <v>2545.0000000000005</v>
      </c>
      <c r="N241" s="115">
        <f t="shared" si="777"/>
        <v>5.8593749999999991E-3</v>
      </c>
      <c r="O241" s="156">
        <f t="shared" si="778"/>
        <v>64</v>
      </c>
      <c r="P241" s="160">
        <f t="shared" si="754"/>
        <v>2560</v>
      </c>
      <c r="Q241" s="160" t="e">
        <f t="shared" si="779"/>
        <v>#N/A</v>
      </c>
      <c r="R241" s="153" t="e">
        <f t="shared" ca="1" si="683"/>
        <v>#VALUE!</v>
      </c>
      <c r="S241" s="119">
        <f t="shared" si="780"/>
        <v>5.1199999999999992</v>
      </c>
      <c r="T241" s="115" t="str">
        <f>VLOOKUP(TRIM($F241),Reference!B:C,2,0)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41" s="170">
        <f t="shared" ca="1" si="781"/>
        <v>0</v>
      </c>
      <c r="V241" s="120" t="str">
        <f t="shared" si="670"/>
        <v>NIFTY22MAY16500CE</v>
      </c>
      <c r="W241" s="158" t="e">
        <f>VLOOKUP($V241,Reference!BA:BD,4,0)</f>
        <v>#N/A</v>
      </c>
      <c r="X241" s="160">
        <f t="shared" ca="1" si="671"/>
        <v>0</v>
      </c>
      <c r="Y241" s="160">
        <f t="shared" ca="1" si="672"/>
        <v>0</v>
      </c>
      <c r="Z241" s="160">
        <f t="shared" ca="1" si="686"/>
        <v>0</v>
      </c>
      <c r="AA241" s="160">
        <f t="shared" ca="1" si="673"/>
        <v>0</v>
      </c>
      <c r="AB241" s="160">
        <f t="shared" ca="1" si="674"/>
        <v>0</v>
      </c>
      <c r="AC241" s="119">
        <f t="shared" ca="1" si="675"/>
        <v>0</v>
      </c>
      <c r="AD241" s="115">
        <f t="shared" ca="1" si="782"/>
        <v>-1.3068493150684932</v>
      </c>
      <c r="AE241" s="115">
        <f t="shared" si="783"/>
        <v>20</v>
      </c>
      <c r="AF241" s="115"/>
      <c r="AG241" s="115"/>
      <c r="AH241" s="115">
        <f t="shared" si="755"/>
        <v>1.28</v>
      </c>
      <c r="AI241" s="115"/>
      <c r="AJ241" s="115">
        <f t="shared" si="756"/>
        <v>0</v>
      </c>
      <c r="AK241" s="115"/>
      <c r="AL241" s="142"/>
      <c r="AM241" s="153"/>
      <c r="AN241" s="153"/>
      <c r="AO241" s="153"/>
      <c r="AP241" s="153"/>
      <c r="AQ241" s="153"/>
      <c r="AR241" s="153"/>
      <c r="AS241" s="153"/>
      <c r="AT241" s="153"/>
      <c r="AU241" s="153"/>
      <c r="AV241" s="153"/>
      <c r="AW241" s="153"/>
      <c r="AX241" s="153"/>
      <c r="AY241" s="153"/>
      <c r="AZ241" s="153"/>
      <c r="BA241" s="153"/>
      <c r="BB241" s="153"/>
      <c r="BC241" s="153"/>
      <c r="BD241" s="153"/>
      <c r="BE241" s="153"/>
      <c r="BF241" s="153"/>
      <c r="BG241" s="153"/>
      <c r="BS241" s="13">
        <v>2</v>
      </c>
      <c r="BT241" s="123">
        <v>44491</v>
      </c>
      <c r="BU241" s="116" t="s">
        <v>8</v>
      </c>
      <c r="BV241" s="115" t="s">
        <v>482</v>
      </c>
      <c r="BW241" s="116" t="s">
        <v>502</v>
      </c>
      <c r="BX241" s="115">
        <v>18400</v>
      </c>
      <c r="BY241" s="115">
        <v>41.7</v>
      </c>
      <c r="BZ241" s="115">
        <v>47.945</v>
      </c>
      <c r="CA241" s="119">
        <v>-3216.6708800000001</v>
      </c>
      <c r="CB241" s="115">
        <v>1.1497601918465228</v>
      </c>
      <c r="CC241" s="115">
        <v>500</v>
      </c>
      <c r="CD241" s="115">
        <v>50</v>
      </c>
      <c r="CE241" s="119">
        <v>20850</v>
      </c>
    </row>
    <row r="242" spans="1:83" hidden="1">
      <c r="A242" s="13">
        <f t="shared" si="753"/>
        <v>235</v>
      </c>
      <c r="B242" s="123">
        <v>44693</v>
      </c>
      <c r="C242" s="116" t="s">
        <v>8</v>
      </c>
      <c r="D242" s="116">
        <v>1</v>
      </c>
      <c r="E242" s="115" t="s">
        <v>481</v>
      </c>
      <c r="F242" s="116" t="s">
        <v>502</v>
      </c>
      <c r="G242" s="115">
        <v>16500</v>
      </c>
      <c r="H242" s="117">
        <v>44707</v>
      </c>
      <c r="I242" s="115">
        <v>50</v>
      </c>
      <c r="J242" s="115">
        <v>52.4</v>
      </c>
      <c r="K242" s="115">
        <v>0.3</v>
      </c>
      <c r="L242" s="119">
        <f t="shared" ref="L242:L245" ca="1" si="784">IF(AND(K242&lt;&gt;0,I242&lt;&gt;0),(IF(C242="B",1,-1))*(K242-J242)*I242-AK242*2,0)*$D242*IF(MONTH($B$2)=MONTH($H242),1,0)</f>
        <v>0</v>
      </c>
      <c r="M242" s="119">
        <f t="shared" ref="M242:M245" si="785">IF(AND(K242&lt;&gt;0,I242&lt;&gt;0),(IF(C242="B",1,-1))*(K242-J242)*I242-AK242*2,0)*$D242</f>
        <v>2605</v>
      </c>
      <c r="N242" s="115">
        <f t="shared" ref="N242:N245" si="786">K242/$J242</f>
        <v>5.7251908396946565E-3</v>
      </c>
      <c r="O242" s="156">
        <f t="shared" ref="O242:O245" si="787">J242*(1+$O$6*IF(C242="B",-1,1))</f>
        <v>65.5</v>
      </c>
      <c r="P242" s="160">
        <f t="shared" si="754"/>
        <v>2620</v>
      </c>
      <c r="Q242" s="160" t="e">
        <f t="shared" ref="Q242:Q245" si="788">(W242-J242)*I242*IF(C242="B",1,-1)*IF(K242=0,1,0)</f>
        <v>#N/A</v>
      </c>
      <c r="R242" s="153" t="e">
        <f t="shared" ca="1" si="683"/>
        <v>#VALUE!</v>
      </c>
      <c r="S242" s="119">
        <f t="shared" ref="S242:S245" si="789">(1-$S$6)*J242</f>
        <v>5.2399999999999984</v>
      </c>
      <c r="T242" s="115" t="str">
        <f>VLOOKUP(TRIM($F242),Reference!B:C,2,0)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42" s="170">
        <f t="shared" ref="U242:U245" ca="1" si="790">AC242</f>
        <v>0</v>
      </c>
      <c r="V242" s="120" t="str">
        <f t="shared" si="670"/>
        <v>NIFTY22MAY16500CE</v>
      </c>
      <c r="W242" s="158" t="e">
        <f>VLOOKUP($V242,Reference!BA:BD,4,0)</f>
        <v>#N/A</v>
      </c>
      <c r="X242" s="160">
        <f t="shared" ca="1" si="671"/>
        <v>0</v>
      </c>
      <c r="Y242" s="160">
        <f t="shared" ca="1" si="672"/>
        <v>0</v>
      </c>
      <c r="Z242" s="160">
        <f t="shared" ca="1" si="686"/>
        <v>0</v>
      </c>
      <c r="AA242" s="160">
        <f t="shared" ca="1" si="673"/>
        <v>0</v>
      </c>
      <c r="AB242" s="160">
        <f t="shared" ca="1" si="674"/>
        <v>0</v>
      </c>
      <c r="AC242" s="119">
        <f t="shared" ca="1" si="675"/>
        <v>0</v>
      </c>
      <c r="AD242" s="115">
        <f t="shared" ref="AD242:AD245" ca="1" si="791">(H242-TODAY())/365</f>
        <v>-1.3068493150684932</v>
      </c>
      <c r="AE242" s="115">
        <f t="shared" ref="AE242:AE245" si="792">IF(I242&lt;&gt;0,20,0)</f>
        <v>20</v>
      </c>
      <c r="AF242" s="115"/>
      <c r="AG242" s="115"/>
      <c r="AH242" s="115">
        <f t="shared" si="755"/>
        <v>1.31</v>
      </c>
      <c r="AI242" s="115"/>
      <c r="AJ242" s="115">
        <f t="shared" si="756"/>
        <v>0</v>
      </c>
      <c r="AK242" s="115"/>
      <c r="AL242" s="142"/>
      <c r="AM242" s="153"/>
      <c r="AN242" s="153"/>
      <c r="AO242" s="153"/>
      <c r="AP242" s="153"/>
      <c r="AQ242" s="153"/>
      <c r="AR242" s="153"/>
      <c r="AS242" s="153"/>
      <c r="AT242" s="153"/>
      <c r="AU242" s="153"/>
      <c r="AV242" s="153"/>
      <c r="AW242" s="153"/>
      <c r="AX242" s="153"/>
      <c r="AY242" s="153"/>
      <c r="AZ242" s="153"/>
      <c r="BA242" s="153"/>
      <c r="BB242" s="153"/>
      <c r="BC242" s="153"/>
      <c r="BD242" s="153"/>
      <c r="BE242" s="153"/>
      <c r="BF242" s="153"/>
      <c r="BG242" s="153"/>
      <c r="BS242" s="13">
        <v>2</v>
      </c>
      <c r="BT242" s="123">
        <v>44491</v>
      </c>
      <c r="BU242" s="116" t="s">
        <v>8</v>
      </c>
      <c r="BV242" s="115" t="s">
        <v>482</v>
      </c>
      <c r="BW242" s="116" t="s">
        <v>502</v>
      </c>
      <c r="BX242" s="115">
        <v>18400</v>
      </c>
      <c r="BY242" s="115">
        <v>41.7</v>
      </c>
      <c r="BZ242" s="115">
        <v>47.945</v>
      </c>
      <c r="CA242" s="119">
        <v>-3216.6708800000001</v>
      </c>
      <c r="CB242" s="115">
        <v>1.1497601918465228</v>
      </c>
      <c r="CC242" s="115">
        <v>500</v>
      </c>
      <c r="CD242" s="115">
        <v>50</v>
      </c>
      <c r="CE242" s="119">
        <v>20850</v>
      </c>
    </row>
    <row r="243" spans="1:83" hidden="1">
      <c r="A243" s="13">
        <f t="shared" si="753"/>
        <v>236</v>
      </c>
      <c r="B243" s="123">
        <v>44693</v>
      </c>
      <c r="C243" s="116" t="s">
        <v>8</v>
      </c>
      <c r="D243" s="116">
        <v>1</v>
      </c>
      <c r="E243" s="115" t="s">
        <v>632</v>
      </c>
      <c r="F243" s="116" t="s">
        <v>130</v>
      </c>
      <c r="G243" s="115"/>
      <c r="H243" s="117">
        <v>44742</v>
      </c>
      <c r="I243" s="115">
        <v>3375</v>
      </c>
      <c r="J243" s="115">
        <v>218.75</v>
      </c>
      <c r="K243" s="115">
        <v>221.4</v>
      </c>
      <c r="L243" s="119">
        <f t="shared" ca="1" si="784"/>
        <v>0</v>
      </c>
      <c r="M243" s="119">
        <f t="shared" si="785"/>
        <v>-8943.75000000002</v>
      </c>
      <c r="N243" s="115">
        <f t="shared" si="786"/>
        <v>1.0121142857142857</v>
      </c>
      <c r="O243" s="156">
        <f t="shared" si="787"/>
        <v>273.4375</v>
      </c>
      <c r="P243" s="160">
        <f t="shared" si="754"/>
        <v>738281.25</v>
      </c>
      <c r="Q243" s="160" t="e">
        <f t="shared" si="788"/>
        <v>#N/A</v>
      </c>
      <c r="R243" s="153" t="e">
        <f t="shared" ca="1" si="683"/>
        <v>#VALUE!</v>
      </c>
      <c r="S243" s="119">
        <f t="shared" si="789"/>
        <v>21.874999999999996</v>
      </c>
      <c r="T243" s="115" t="e">
        <f>VLOOKUP(TRIM($F243),Reference!B:C,2,0)</f>
        <v>#VALUE!</v>
      </c>
      <c r="U243" s="170">
        <f t="shared" ca="1" si="790"/>
        <v>0</v>
      </c>
      <c r="V243" s="120" t="str">
        <f t="shared" si="670"/>
        <v>TATAPOWER22JUNFUT</v>
      </c>
      <c r="W243" s="158" t="e">
        <f>VLOOKUP($V243,Reference!BA:BD,4,0)</f>
        <v>#N/A</v>
      </c>
      <c r="X243" s="160">
        <f t="shared" ca="1" si="671"/>
        <v>0</v>
      </c>
      <c r="Y243" s="160">
        <f t="shared" ca="1" si="672"/>
        <v>0</v>
      </c>
      <c r="Z243" s="160">
        <f t="shared" ca="1" si="686"/>
        <v>0</v>
      </c>
      <c r="AA243" s="160">
        <f t="shared" ca="1" si="673"/>
        <v>0</v>
      </c>
      <c r="AB243" s="160">
        <f t="shared" ca="1" si="674"/>
        <v>0</v>
      </c>
      <c r="AC243" s="119">
        <f t="shared" ca="1" si="675"/>
        <v>0</v>
      </c>
      <c r="AD243" s="115">
        <f t="shared" ca="1" si="791"/>
        <v>-1.210958904109589</v>
      </c>
      <c r="AE243" s="115">
        <f t="shared" si="792"/>
        <v>20</v>
      </c>
      <c r="AF243" s="115"/>
      <c r="AG243" s="115"/>
      <c r="AH243" s="115">
        <f t="shared" si="755"/>
        <v>369.140625</v>
      </c>
      <c r="AI243" s="115"/>
      <c r="AJ243" s="115">
        <f t="shared" si="756"/>
        <v>0</v>
      </c>
      <c r="AK243" s="115"/>
      <c r="AL243" s="142"/>
      <c r="AM243" s="153"/>
      <c r="AN243" s="153"/>
      <c r="AO243" s="153"/>
      <c r="AP243" s="153"/>
      <c r="AQ243" s="153"/>
      <c r="AR243" s="153"/>
      <c r="AS243" s="153"/>
      <c r="AT243" s="153"/>
      <c r="AU243" s="153"/>
      <c r="AV243" s="153"/>
      <c r="AW243" s="153"/>
      <c r="AX243" s="153"/>
      <c r="AY243" s="153"/>
      <c r="AZ243" s="153"/>
      <c r="BA243" s="153"/>
      <c r="BB243" s="153"/>
      <c r="BC243" s="153"/>
      <c r="BD243" s="153"/>
      <c r="BE243" s="153"/>
      <c r="BF243" s="153"/>
      <c r="BG243" s="153"/>
      <c r="BS243" s="13">
        <v>2</v>
      </c>
      <c r="BT243" s="123">
        <v>44491</v>
      </c>
      <c r="BU243" s="116" t="s">
        <v>8</v>
      </c>
      <c r="BV243" s="115" t="s">
        <v>482</v>
      </c>
      <c r="BW243" s="116" t="s">
        <v>502</v>
      </c>
      <c r="BX243" s="115">
        <v>18400</v>
      </c>
      <c r="BY243" s="115">
        <v>41.7</v>
      </c>
      <c r="BZ243" s="115">
        <v>47.945</v>
      </c>
      <c r="CA243" s="119">
        <v>-3216.6708800000001</v>
      </c>
      <c r="CB243" s="115">
        <v>1.1497601918465228</v>
      </c>
      <c r="CC243" s="115">
        <v>500</v>
      </c>
      <c r="CD243" s="115">
        <v>50</v>
      </c>
      <c r="CE243" s="119">
        <v>20850</v>
      </c>
    </row>
    <row r="244" spans="1:83" hidden="1">
      <c r="A244" s="13">
        <f t="shared" si="753"/>
        <v>237</v>
      </c>
      <c r="B244" s="123">
        <v>44679</v>
      </c>
      <c r="C244" s="116" t="s">
        <v>8</v>
      </c>
      <c r="D244" s="116">
        <v>1</v>
      </c>
      <c r="E244" s="115" t="s">
        <v>482</v>
      </c>
      <c r="F244" s="116" t="s">
        <v>284</v>
      </c>
      <c r="G244" s="115">
        <v>410</v>
      </c>
      <c r="H244" s="117">
        <v>44707</v>
      </c>
      <c r="I244" s="115">
        <v>1425</v>
      </c>
      <c r="J244" s="115">
        <v>10.35</v>
      </c>
      <c r="K244" s="115">
        <v>19.7</v>
      </c>
      <c r="L244" s="119">
        <f t="shared" ca="1" si="784"/>
        <v>0</v>
      </c>
      <c r="M244" s="119">
        <f t="shared" si="785"/>
        <v>-13323.75</v>
      </c>
      <c r="N244" s="115">
        <f t="shared" si="786"/>
        <v>1.9033816425120773</v>
      </c>
      <c r="O244" s="156">
        <f t="shared" si="787"/>
        <v>12.9375</v>
      </c>
      <c r="P244" s="160">
        <f t="shared" si="754"/>
        <v>14748.75</v>
      </c>
      <c r="Q244" s="160" t="e">
        <f t="shared" si="788"/>
        <v>#N/A</v>
      </c>
      <c r="R244" s="153" t="e">
        <f t="shared" ca="1" si="683"/>
        <v>#VALUE!</v>
      </c>
      <c r="S244" s="119">
        <f t="shared" si="789"/>
        <v>1.0349999999999997</v>
      </c>
      <c r="T244" s="115" t="e">
        <f>VLOOKUP(TRIM($F244),Reference!B:C,2,0)</f>
        <v>#VALUE!</v>
      </c>
      <c r="U244" s="170">
        <f t="shared" ca="1" si="790"/>
        <v>0</v>
      </c>
      <c r="V244" s="120" t="str">
        <f t="shared" si="670"/>
        <v>TATAMOTORS22MAY410PE</v>
      </c>
      <c r="W244" s="158" t="e">
        <f>VLOOKUP($V244,Reference!BA:BD,4,0)</f>
        <v>#N/A</v>
      </c>
      <c r="X244" s="160">
        <f t="shared" ca="1" si="671"/>
        <v>0</v>
      </c>
      <c r="Y244" s="160">
        <f t="shared" ca="1" si="672"/>
        <v>0</v>
      </c>
      <c r="Z244" s="160">
        <f t="shared" ca="1" si="686"/>
        <v>0</v>
      </c>
      <c r="AA244" s="160">
        <f t="shared" ca="1" si="673"/>
        <v>0</v>
      </c>
      <c r="AB244" s="160">
        <f t="shared" ca="1" si="674"/>
        <v>0</v>
      </c>
      <c r="AC244" s="119">
        <f t="shared" ca="1" si="675"/>
        <v>0</v>
      </c>
      <c r="AD244" s="115">
        <f t="shared" ca="1" si="791"/>
        <v>-1.3068493150684932</v>
      </c>
      <c r="AE244" s="115">
        <f t="shared" si="792"/>
        <v>20</v>
      </c>
      <c r="AF244" s="115"/>
      <c r="AG244" s="115"/>
      <c r="AH244" s="115">
        <f t="shared" si="755"/>
        <v>7.3743750000000006</v>
      </c>
      <c r="AI244" s="115"/>
      <c r="AJ244" s="115">
        <f t="shared" si="756"/>
        <v>0</v>
      </c>
      <c r="AK244" s="115"/>
      <c r="AL244" s="142"/>
      <c r="AM244" s="153"/>
      <c r="AN244" s="153"/>
      <c r="AO244" s="153"/>
      <c r="AP244" s="153"/>
      <c r="AQ244" s="153"/>
      <c r="AR244" s="153"/>
      <c r="AS244" s="153"/>
      <c r="AT244" s="153"/>
      <c r="AU244" s="153"/>
      <c r="AV244" s="153"/>
      <c r="AW244" s="153"/>
      <c r="AX244" s="153"/>
      <c r="AY244" s="153"/>
      <c r="AZ244" s="153"/>
      <c r="BA244" s="153"/>
      <c r="BB244" s="153"/>
      <c r="BC244" s="153"/>
      <c r="BD244" s="153"/>
      <c r="BE244" s="153"/>
      <c r="BF244" s="153"/>
      <c r="BG244" s="153"/>
      <c r="BS244" s="13">
        <v>2</v>
      </c>
      <c r="BT244" s="123">
        <v>44491</v>
      </c>
      <c r="BU244" s="116" t="s">
        <v>8</v>
      </c>
      <c r="BV244" s="115" t="s">
        <v>482</v>
      </c>
      <c r="BW244" s="116" t="s">
        <v>502</v>
      </c>
      <c r="BX244" s="115">
        <v>18400</v>
      </c>
      <c r="BY244" s="115">
        <v>41.7</v>
      </c>
      <c r="BZ244" s="115">
        <v>47.945</v>
      </c>
      <c r="CA244" s="119">
        <v>-3216.6708800000001</v>
      </c>
      <c r="CB244" s="115">
        <v>1.1497601918465228</v>
      </c>
      <c r="CC244" s="115">
        <v>500</v>
      </c>
      <c r="CD244" s="115">
        <v>50</v>
      </c>
      <c r="CE244" s="119">
        <v>20850</v>
      </c>
    </row>
    <row r="245" spans="1:83" hidden="1">
      <c r="A245" s="13">
        <f t="shared" si="753"/>
        <v>238</v>
      </c>
      <c r="B245" s="123">
        <v>44700</v>
      </c>
      <c r="C245" s="116" t="s">
        <v>8</v>
      </c>
      <c r="D245" s="116">
        <v>1</v>
      </c>
      <c r="E245" s="115" t="s">
        <v>481</v>
      </c>
      <c r="F245" s="116" t="s">
        <v>284</v>
      </c>
      <c r="G245" s="115">
        <v>420</v>
      </c>
      <c r="H245" s="117">
        <v>44707</v>
      </c>
      <c r="I245" s="115">
        <v>1425</v>
      </c>
      <c r="J245" s="115">
        <v>12.1</v>
      </c>
      <c r="K245" s="115">
        <v>5.5</v>
      </c>
      <c r="L245" s="119">
        <f t="shared" ca="1" si="784"/>
        <v>0</v>
      </c>
      <c r="M245" s="119">
        <f t="shared" si="785"/>
        <v>9405</v>
      </c>
      <c r="N245" s="115">
        <f t="shared" si="786"/>
        <v>0.45454545454545459</v>
      </c>
      <c r="O245" s="156">
        <f t="shared" si="787"/>
        <v>15.125</v>
      </c>
      <c r="P245" s="160">
        <f t="shared" si="754"/>
        <v>17242.5</v>
      </c>
      <c r="Q245" s="160" t="e">
        <f t="shared" si="788"/>
        <v>#N/A</v>
      </c>
      <c r="R245" s="153" t="e">
        <f t="shared" ca="1" si="683"/>
        <v>#VALUE!</v>
      </c>
      <c r="S245" s="119">
        <f t="shared" si="789"/>
        <v>1.2099999999999997</v>
      </c>
      <c r="T245" s="115" t="e">
        <f>VLOOKUP(TRIM($F245),Reference!B:C,2,0)</f>
        <v>#VALUE!</v>
      </c>
      <c r="U245" s="170">
        <f t="shared" ca="1" si="790"/>
        <v>0</v>
      </c>
      <c r="V245" s="120" t="str">
        <f t="shared" si="670"/>
        <v>TATAMOTORS22MAY420CE</v>
      </c>
      <c r="W245" s="158" t="e">
        <f>VLOOKUP($V245,Reference!BA:BD,4,0)</f>
        <v>#N/A</v>
      </c>
      <c r="X245" s="160">
        <f t="shared" ca="1" si="671"/>
        <v>0</v>
      </c>
      <c r="Y245" s="160">
        <f t="shared" ca="1" si="672"/>
        <v>0</v>
      </c>
      <c r="Z245" s="160">
        <f t="shared" ca="1" si="686"/>
        <v>0</v>
      </c>
      <c r="AA245" s="160">
        <f t="shared" ca="1" si="673"/>
        <v>0</v>
      </c>
      <c r="AB245" s="160">
        <f t="shared" ca="1" si="674"/>
        <v>0</v>
      </c>
      <c r="AC245" s="119">
        <f t="shared" ca="1" si="675"/>
        <v>0</v>
      </c>
      <c r="AD245" s="115">
        <f t="shared" ca="1" si="791"/>
        <v>-1.3068493150684932</v>
      </c>
      <c r="AE245" s="115">
        <f t="shared" si="792"/>
        <v>20</v>
      </c>
      <c r="AF245" s="115"/>
      <c r="AG245" s="115"/>
      <c r="AH245" s="115">
        <f t="shared" si="755"/>
        <v>8.6212499999999999</v>
      </c>
      <c r="AI245" s="115"/>
      <c r="AJ245" s="115">
        <f t="shared" si="756"/>
        <v>0</v>
      </c>
      <c r="AK245" s="115"/>
      <c r="AL245" s="142"/>
      <c r="AM245" s="153"/>
      <c r="AN245" s="153"/>
      <c r="AO245" s="153"/>
      <c r="AP245" s="153"/>
      <c r="AQ245" s="153"/>
      <c r="AR245" s="153"/>
      <c r="AS245" s="153"/>
      <c r="AT245" s="153"/>
      <c r="AU245" s="153"/>
      <c r="AV245" s="153"/>
      <c r="AW245" s="153"/>
      <c r="AX245" s="153"/>
      <c r="AY245" s="153"/>
      <c r="AZ245" s="153"/>
      <c r="BA245" s="153"/>
      <c r="BB245" s="153"/>
      <c r="BC245" s="153"/>
      <c r="BD245" s="153"/>
      <c r="BE245" s="153"/>
      <c r="BF245" s="153"/>
      <c r="BG245" s="153"/>
      <c r="BS245" s="13">
        <v>2</v>
      </c>
      <c r="BT245" s="123">
        <v>44491</v>
      </c>
      <c r="BU245" s="116" t="s">
        <v>8</v>
      </c>
      <c r="BV245" s="115" t="s">
        <v>482</v>
      </c>
      <c r="BW245" s="116" t="s">
        <v>502</v>
      </c>
      <c r="BX245" s="115">
        <v>18400</v>
      </c>
      <c r="BY245" s="115">
        <v>41.7</v>
      </c>
      <c r="BZ245" s="115">
        <v>47.945</v>
      </c>
      <c r="CA245" s="119">
        <v>-3216.6708800000001</v>
      </c>
      <c r="CB245" s="115">
        <v>1.1497601918465228</v>
      </c>
      <c r="CC245" s="115">
        <v>500</v>
      </c>
      <c r="CD245" s="115">
        <v>50</v>
      </c>
      <c r="CE245" s="119">
        <v>20850</v>
      </c>
    </row>
    <row r="246" spans="1:83" hidden="1">
      <c r="A246" s="13">
        <f t="shared" si="753"/>
        <v>239</v>
      </c>
      <c r="B246" s="123">
        <v>44700</v>
      </c>
      <c r="C246" s="116" t="s">
        <v>6</v>
      </c>
      <c r="D246" s="116">
        <v>1</v>
      </c>
      <c r="E246" s="115" t="s">
        <v>482</v>
      </c>
      <c r="F246" s="116" t="s">
        <v>284</v>
      </c>
      <c r="G246" s="115">
        <v>410</v>
      </c>
      <c r="H246" s="117">
        <v>44707</v>
      </c>
      <c r="I246" s="115">
        <v>1425</v>
      </c>
      <c r="J246" s="115">
        <v>4.7</v>
      </c>
      <c r="K246" s="115">
        <v>2.25</v>
      </c>
      <c r="L246" s="119">
        <f t="shared" ref="L246" ca="1" si="793">IF(AND(K246&lt;&gt;0,I246&lt;&gt;0),(IF(C246="B",1,-1))*(K246-J246)*I246-AK246*2,0)*$D246*IF(MONTH($B$2)=MONTH($H246),1,0)</f>
        <v>0</v>
      </c>
      <c r="M246" s="119">
        <f t="shared" ref="M246" si="794">IF(AND(K246&lt;&gt;0,I246&lt;&gt;0),(IF(C246="B",1,-1))*(K246-J246)*I246-AK246*2,0)*$D246</f>
        <v>-3491.2500000000005</v>
      </c>
      <c r="N246" s="115">
        <f t="shared" ref="N246" si="795">K246/$J246</f>
        <v>0.47872340425531912</v>
      </c>
      <c r="O246" s="156">
        <f t="shared" ref="O246" si="796">J246*(1+$O$6*IF(C246="B",-1,1))</f>
        <v>3.5250000000000004</v>
      </c>
      <c r="P246" s="160">
        <f t="shared" si="754"/>
        <v>6697.5</v>
      </c>
      <c r="Q246" s="160" t="e">
        <f t="shared" ref="Q246" si="797">(W246-J246)*I246*IF(C246="B",1,-1)*IF(K246=0,1,0)</f>
        <v>#N/A</v>
      </c>
      <c r="R246" s="153" t="e">
        <f t="shared" ca="1" si="683"/>
        <v>#VALUE!</v>
      </c>
      <c r="S246" s="119">
        <f t="shared" ref="S246" si="798">(1-$S$6)*J246</f>
        <v>0.46999999999999992</v>
      </c>
      <c r="T246" s="115" t="e">
        <f>VLOOKUP(TRIM($F246),Reference!B:C,2,0)</f>
        <v>#VALUE!</v>
      </c>
      <c r="U246" s="170">
        <f t="shared" ref="U246" ca="1" si="799">AC246</f>
        <v>0</v>
      </c>
      <c r="V246" s="120" t="str">
        <f t="shared" si="670"/>
        <v>TATAMOTORS22MAY410PE</v>
      </c>
      <c r="W246" s="158" t="e">
        <f>VLOOKUP($V246,Reference!BA:BD,4,0)</f>
        <v>#N/A</v>
      </c>
      <c r="X246" s="160">
        <f t="shared" ca="1" si="671"/>
        <v>0</v>
      </c>
      <c r="Y246" s="160">
        <f t="shared" ca="1" si="672"/>
        <v>0</v>
      </c>
      <c r="Z246" s="160">
        <f t="shared" ca="1" si="686"/>
        <v>0</v>
      </c>
      <c r="AA246" s="160">
        <f t="shared" ca="1" si="673"/>
        <v>0</v>
      </c>
      <c r="AB246" s="160">
        <f t="shared" ca="1" si="674"/>
        <v>0</v>
      </c>
      <c r="AC246" s="119">
        <f t="shared" ca="1" si="675"/>
        <v>0</v>
      </c>
      <c r="AD246" s="115">
        <f t="shared" ref="AD246" ca="1" si="800">(H246-TODAY())/365</f>
        <v>-1.3068493150684932</v>
      </c>
      <c r="AE246" s="115">
        <f t="shared" ref="AE246" si="801">IF(I246&lt;&gt;0,20,0)</f>
        <v>20</v>
      </c>
      <c r="AF246" s="115"/>
      <c r="AG246" s="115"/>
      <c r="AH246" s="115">
        <f t="shared" si="755"/>
        <v>0</v>
      </c>
      <c r="AI246" s="115"/>
      <c r="AJ246" s="115">
        <f t="shared" si="756"/>
        <v>0.20092499999999999</v>
      </c>
      <c r="AK246" s="115"/>
      <c r="AL246" s="142"/>
      <c r="AM246" s="153"/>
      <c r="AN246" s="153"/>
      <c r="AO246" s="153"/>
      <c r="AP246" s="153"/>
      <c r="AQ246" s="153"/>
      <c r="AR246" s="153"/>
      <c r="AS246" s="153"/>
      <c r="AT246" s="153"/>
      <c r="AU246" s="153"/>
      <c r="AV246" s="153"/>
      <c r="AW246" s="153"/>
      <c r="AX246" s="153"/>
      <c r="AY246" s="153"/>
      <c r="AZ246" s="153"/>
      <c r="BA246" s="153"/>
      <c r="BB246" s="153"/>
      <c r="BC246" s="153"/>
      <c r="BD246" s="153"/>
      <c r="BE246" s="153"/>
      <c r="BF246" s="153"/>
      <c r="BG246" s="153"/>
      <c r="BS246" s="13">
        <v>2</v>
      </c>
      <c r="BT246" s="123">
        <v>44491</v>
      </c>
      <c r="BU246" s="116" t="s">
        <v>8</v>
      </c>
      <c r="BV246" s="115" t="s">
        <v>482</v>
      </c>
      <c r="BW246" s="116" t="s">
        <v>502</v>
      </c>
      <c r="BX246" s="115">
        <v>18400</v>
      </c>
      <c r="BY246" s="115">
        <v>41.7</v>
      </c>
      <c r="BZ246" s="115">
        <v>47.945</v>
      </c>
      <c r="CA246" s="119">
        <v>-3216.6708800000001</v>
      </c>
      <c r="CB246" s="115">
        <v>1.1497601918465228</v>
      </c>
      <c r="CC246" s="115">
        <v>500</v>
      </c>
      <c r="CD246" s="115">
        <v>50</v>
      </c>
      <c r="CE246" s="119">
        <v>20850</v>
      </c>
    </row>
    <row r="247" spans="1:83" hidden="1">
      <c r="A247" s="13">
        <f t="shared" si="753"/>
        <v>240</v>
      </c>
      <c r="B247" s="123">
        <v>44700</v>
      </c>
      <c r="C247" s="116" t="s">
        <v>6</v>
      </c>
      <c r="D247" s="116">
        <v>1</v>
      </c>
      <c r="E247" s="115" t="s">
        <v>632</v>
      </c>
      <c r="F247" s="116" t="s">
        <v>284</v>
      </c>
      <c r="G247" s="115"/>
      <c r="H247" s="117">
        <v>44742</v>
      </c>
      <c r="I247" s="115">
        <v>1425</v>
      </c>
      <c r="J247" s="115">
        <v>426</v>
      </c>
      <c r="K247" s="115">
        <v>441.15</v>
      </c>
      <c r="L247" s="119">
        <f t="shared" ref="L247:L251" ca="1" si="802">IF(AND(K247&lt;&gt;0,I247&lt;&gt;0),(IF(C247="B",1,-1))*(K247-J247)*I247-AK247*2,0)*$D247*IF(MONTH($B$2)=MONTH($H247),1,0)</f>
        <v>0</v>
      </c>
      <c r="M247" s="119">
        <f t="shared" ref="M247:M251" si="803">IF(AND(K247&lt;&gt;0,I247&lt;&gt;0),(IF(C247="B",1,-1))*(K247-J247)*I247-AK247*2,0)*$D247</f>
        <v>21588.749999999967</v>
      </c>
      <c r="N247" s="115">
        <f t="shared" ref="N247:N251" si="804">K247/$J247</f>
        <v>1.0355633802816901</v>
      </c>
      <c r="O247" s="156">
        <f t="shared" ref="O247:O251" si="805">J247*(1+$O$6*IF(C247="B",-1,1))</f>
        <v>319.5</v>
      </c>
      <c r="P247" s="160">
        <f t="shared" si="754"/>
        <v>607050</v>
      </c>
      <c r="Q247" s="160" t="e">
        <f t="shared" ref="Q247:Q251" si="806">(W247-J247)*I247*IF(C247="B",1,-1)*IF(K247=0,1,0)</f>
        <v>#N/A</v>
      </c>
      <c r="R247" s="153" t="e">
        <f t="shared" ca="1" si="683"/>
        <v>#VALUE!</v>
      </c>
      <c r="S247" s="119">
        <f t="shared" ref="S247:S251" si="807">(1-$S$6)*J247</f>
        <v>42.599999999999987</v>
      </c>
      <c r="T247" s="115" t="e">
        <f>VLOOKUP(TRIM($F247),Reference!B:C,2,0)</f>
        <v>#VALUE!</v>
      </c>
      <c r="U247" s="170">
        <f t="shared" ref="U247:U251" ca="1" si="808">AC247</f>
        <v>0</v>
      </c>
      <c r="V247" s="120" t="str">
        <f t="shared" si="670"/>
        <v>TATAMOTORS22JUNFUT</v>
      </c>
      <c r="W247" s="158" t="e">
        <f>VLOOKUP($V247,Reference!BA:BD,4,0)</f>
        <v>#N/A</v>
      </c>
      <c r="X247" s="160">
        <f t="shared" ca="1" si="671"/>
        <v>0</v>
      </c>
      <c r="Y247" s="160">
        <f t="shared" ca="1" si="672"/>
        <v>0</v>
      </c>
      <c r="Z247" s="160">
        <f t="shared" ca="1" si="686"/>
        <v>0</v>
      </c>
      <c r="AA247" s="160">
        <f t="shared" ca="1" si="673"/>
        <v>0</v>
      </c>
      <c r="AB247" s="160">
        <f t="shared" ca="1" si="674"/>
        <v>0</v>
      </c>
      <c r="AC247" s="119">
        <f t="shared" ca="1" si="675"/>
        <v>0</v>
      </c>
      <c r="AD247" s="115">
        <f t="shared" ref="AD247:AD251" ca="1" si="809">(H247-TODAY())/365</f>
        <v>-1.210958904109589</v>
      </c>
      <c r="AE247" s="115">
        <f t="shared" ref="AE247:AE251" si="810">IF(I247&lt;&gt;0,20,0)</f>
        <v>20</v>
      </c>
      <c r="AF247" s="115"/>
      <c r="AG247" s="115"/>
      <c r="AH247" s="115">
        <f t="shared" si="755"/>
        <v>0</v>
      </c>
      <c r="AI247" s="115"/>
      <c r="AJ247" s="115">
        <f t="shared" si="756"/>
        <v>18.211500000000001</v>
      </c>
      <c r="AK247" s="115"/>
      <c r="AL247" s="142"/>
      <c r="AM247" s="153"/>
      <c r="AN247" s="153"/>
      <c r="AO247" s="153"/>
      <c r="AP247" s="153"/>
      <c r="AQ247" s="153"/>
      <c r="AR247" s="153"/>
      <c r="AS247" s="153"/>
      <c r="AT247" s="153"/>
      <c r="AU247" s="153"/>
      <c r="AV247" s="153"/>
      <c r="AW247" s="153"/>
      <c r="AX247" s="153"/>
      <c r="AY247" s="153"/>
      <c r="AZ247" s="153"/>
      <c r="BA247" s="153"/>
      <c r="BB247" s="153"/>
      <c r="BC247" s="153"/>
      <c r="BD247" s="153"/>
      <c r="BE247" s="153"/>
      <c r="BF247" s="153"/>
      <c r="BG247" s="153"/>
      <c r="BS247" s="13">
        <v>2</v>
      </c>
      <c r="BT247" s="123">
        <v>44491</v>
      </c>
      <c r="BU247" s="116" t="s">
        <v>8</v>
      </c>
      <c r="BV247" s="115" t="s">
        <v>482</v>
      </c>
      <c r="BW247" s="116" t="s">
        <v>502</v>
      </c>
      <c r="BX247" s="115">
        <v>18400</v>
      </c>
      <c r="BY247" s="115">
        <v>41.7</v>
      </c>
      <c r="BZ247" s="115">
        <v>47.945</v>
      </c>
      <c r="CA247" s="119">
        <v>-3216.6708800000001</v>
      </c>
      <c r="CB247" s="115">
        <v>1.1497601918465228</v>
      </c>
      <c r="CC247" s="115">
        <v>500</v>
      </c>
      <c r="CD247" s="115">
        <v>50</v>
      </c>
      <c r="CE247" s="119">
        <v>20850</v>
      </c>
    </row>
    <row r="248" spans="1:83" hidden="1">
      <c r="A248" s="13">
        <f t="shared" si="753"/>
        <v>241</v>
      </c>
      <c r="B248" s="123">
        <v>44700</v>
      </c>
      <c r="C248" s="116" t="s">
        <v>8</v>
      </c>
      <c r="D248" s="116">
        <v>1</v>
      </c>
      <c r="E248" s="115" t="s">
        <v>481</v>
      </c>
      <c r="F248" s="116" t="s">
        <v>381</v>
      </c>
      <c r="G248" s="115">
        <v>3200</v>
      </c>
      <c r="H248" s="117">
        <v>44707</v>
      </c>
      <c r="I248" s="115">
        <v>200</v>
      </c>
      <c r="J248" s="115">
        <v>24.6</v>
      </c>
      <c r="K248" s="115">
        <v>0.8</v>
      </c>
      <c r="L248" s="119">
        <f t="shared" ca="1" si="802"/>
        <v>0</v>
      </c>
      <c r="M248" s="119">
        <f t="shared" si="803"/>
        <v>4760</v>
      </c>
      <c r="N248" s="115">
        <f t="shared" si="804"/>
        <v>3.2520325203252029E-2</v>
      </c>
      <c r="O248" s="156">
        <f t="shared" si="805"/>
        <v>30.75</v>
      </c>
      <c r="P248" s="160">
        <f t="shared" si="754"/>
        <v>4920</v>
      </c>
      <c r="Q248" s="160" t="e">
        <f t="shared" si="806"/>
        <v>#N/A</v>
      </c>
      <c r="R248" s="153" t="e">
        <f t="shared" ca="1" si="683"/>
        <v>#VALUE!</v>
      </c>
      <c r="S248" s="119">
        <f t="shared" si="807"/>
        <v>2.4599999999999995</v>
      </c>
      <c r="T248" s="115" t="e">
        <f>VLOOKUP(TRIM($F248),Reference!B:C,2,0)</f>
        <v>#VALUE!</v>
      </c>
      <c r="U248" s="170">
        <f t="shared" ca="1" si="808"/>
        <v>0</v>
      </c>
      <c r="V248" s="120" t="str">
        <f t="shared" si="670"/>
        <v>MINDTREE22MAY3200CE</v>
      </c>
      <c r="W248" s="158" t="e">
        <f>VLOOKUP($V248,Reference!BA:BD,4,0)</f>
        <v>#N/A</v>
      </c>
      <c r="X248" s="160">
        <f t="shared" ca="1" si="671"/>
        <v>0</v>
      </c>
      <c r="Y248" s="160">
        <f t="shared" ca="1" si="672"/>
        <v>0</v>
      </c>
      <c r="Z248" s="160">
        <f t="shared" ca="1" si="686"/>
        <v>0</v>
      </c>
      <c r="AA248" s="160">
        <f t="shared" ca="1" si="673"/>
        <v>0</v>
      </c>
      <c r="AB248" s="160">
        <f t="shared" ca="1" si="674"/>
        <v>0</v>
      </c>
      <c r="AC248" s="119">
        <f t="shared" ca="1" si="675"/>
        <v>0</v>
      </c>
      <c r="AD248" s="115">
        <f t="shared" ca="1" si="809"/>
        <v>-1.3068493150684932</v>
      </c>
      <c r="AE248" s="115">
        <f t="shared" si="810"/>
        <v>20</v>
      </c>
      <c r="AF248" s="115"/>
      <c r="AG248" s="115"/>
      <c r="AH248" s="115">
        <f t="shared" si="755"/>
        <v>2.46</v>
      </c>
      <c r="AI248" s="115"/>
      <c r="AJ248" s="115">
        <f t="shared" si="756"/>
        <v>0</v>
      </c>
      <c r="AK248" s="115"/>
      <c r="AL248" s="142"/>
      <c r="AM248" s="153"/>
      <c r="AN248" s="153"/>
      <c r="AO248" s="153"/>
      <c r="AP248" s="153"/>
      <c r="AQ248" s="153"/>
      <c r="AR248" s="153"/>
      <c r="AS248" s="153"/>
      <c r="AT248" s="153"/>
      <c r="AU248" s="153"/>
      <c r="AV248" s="153"/>
      <c r="AW248" s="153"/>
      <c r="AX248" s="153"/>
      <c r="AY248" s="153"/>
      <c r="AZ248" s="153"/>
      <c r="BA248" s="153"/>
      <c r="BB248" s="153"/>
      <c r="BC248" s="153"/>
      <c r="BD248" s="153"/>
      <c r="BE248" s="153"/>
      <c r="BF248" s="153"/>
      <c r="BG248" s="153"/>
      <c r="BS248" s="13">
        <v>2</v>
      </c>
      <c r="BT248" s="123">
        <v>44491</v>
      </c>
      <c r="BU248" s="116" t="s">
        <v>8</v>
      </c>
      <c r="BV248" s="115" t="s">
        <v>482</v>
      </c>
      <c r="BW248" s="116" t="s">
        <v>502</v>
      </c>
      <c r="BX248" s="115">
        <v>18400</v>
      </c>
      <c r="BY248" s="115">
        <v>41.7</v>
      </c>
      <c r="BZ248" s="115">
        <v>47.945</v>
      </c>
      <c r="CA248" s="119">
        <v>-3216.6708800000001</v>
      </c>
      <c r="CB248" s="115">
        <v>1.1497601918465228</v>
      </c>
      <c r="CC248" s="115">
        <v>500</v>
      </c>
      <c r="CD248" s="115">
        <v>50</v>
      </c>
      <c r="CE248" s="119">
        <v>20850</v>
      </c>
    </row>
    <row r="249" spans="1:83" hidden="1">
      <c r="A249" s="13">
        <f t="shared" si="753"/>
        <v>242</v>
      </c>
      <c r="B249" s="123">
        <v>44679</v>
      </c>
      <c r="C249" s="116" t="s">
        <v>6</v>
      </c>
      <c r="D249" s="116">
        <v>1</v>
      </c>
      <c r="E249" s="115" t="s">
        <v>632</v>
      </c>
      <c r="F249" s="116" t="s">
        <v>284</v>
      </c>
      <c r="G249" s="115"/>
      <c r="H249" s="117">
        <v>44707</v>
      </c>
      <c r="I249" s="115">
        <v>1425</v>
      </c>
      <c r="J249" s="115">
        <v>432.25</v>
      </c>
      <c r="K249" s="115">
        <v>425.25</v>
      </c>
      <c r="L249" s="119">
        <f t="shared" ca="1" si="802"/>
        <v>0</v>
      </c>
      <c r="M249" s="119">
        <f t="shared" si="803"/>
        <v>-9975</v>
      </c>
      <c r="N249" s="115">
        <f t="shared" si="804"/>
        <v>0.98380566801619429</v>
      </c>
      <c r="O249" s="156">
        <f t="shared" si="805"/>
        <v>324.1875</v>
      </c>
      <c r="P249" s="160">
        <f t="shared" si="754"/>
        <v>615956.25</v>
      </c>
      <c r="Q249" s="160" t="e">
        <f t="shared" si="806"/>
        <v>#N/A</v>
      </c>
      <c r="R249" s="153" t="e">
        <f t="shared" ca="1" si="683"/>
        <v>#VALUE!</v>
      </c>
      <c r="S249" s="119">
        <f t="shared" si="807"/>
        <v>43.224999999999987</v>
      </c>
      <c r="T249" s="115" t="e">
        <f>VLOOKUP(TRIM($F249),Reference!B:C,2,0)</f>
        <v>#VALUE!</v>
      </c>
      <c r="U249" s="170">
        <f t="shared" ca="1" si="808"/>
        <v>0</v>
      </c>
      <c r="V249" s="120" t="str">
        <f t="shared" si="670"/>
        <v>TATAMOTORS22MAYFUT</v>
      </c>
      <c r="W249" s="158" t="e">
        <f>VLOOKUP($V249,Reference!BA:BD,4,0)</f>
        <v>#N/A</v>
      </c>
      <c r="X249" s="160">
        <f t="shared" ca="1" si="671"/>
        <v>0</v>
      </c>
      <c r="Y249" s="160">
        <f t="shared" ca="1" si="672"/>
        <v>0</v>
      </c>
      <c r="Z249" s="160">
        <f t="shared" ca="1" si="686"/>
        <v>0</v>
      </c>
      <c r="AA249" s="160">
        <f t="shared" ca="1" si="673"/>
        <v>0</v>
      </c>
      <c r="AB249" s="160">
        <f t="shared" ca="1" si="674"/>
        <v>0</v>
      </c>
      <c r="AC249" s="119">
        <f t="shared" ca="1" si="675"/>
        <v>0</v>
      </c>
      <c r="AD249" s="115">
        <f t="shared" ca="1" si="809"/>
        <v>-1.3068493150684932</v>
      </c>
      <c r="AE249" s="115">
        <f t="shared" si="810"/>
        <v>20</v>
      </c>
      <c r="AF249" s="115"/>
      <c r="AG249" s="115"/>
      <c r="AH249" s="115">
        <f t="shared" si="755"/>
        <v>0</v>
      </c>
      <c r="AI249" s="115"/>
      <c r="AJ249" s="115">
        <f t="shared" si="756"/>
        <v>18.478687499999999</v>
      </c>
      <c r="AK249" s="115"/>
      <c r="AL249" s="142"/>
      <c r="AM249" s="153"/>
      <c r="AN249" s="153"/>
      <c r="AO249" s="153"/>
      <c r="AP249" s="153"/>
      <c r="AQ249" s="153"/>
      <c r="AR249" s="153"/>
      <c r="AS249" s="153"/>
      <c r="AT249" s="153"/>
      <c r="AU249" s="153"/>
      <c r="AV249" s="153"/>
      <c r="AW249" s="153"/>
      <c r="AX249" s="153"/>
      <c r="AY249" s="153"/>
      <c r="AZ249" s="153"/>
      <c r="BA249" s="153"/>
      <c r="BB249" s="153"/>
      <c r="BC249" s="153"/>
      <c r="BD249" s="153"/>
      <c r="BE249" s="153"/>
      <c r="BF249" s="153"/>
      <c r="BG249" s="153"/>
      <c r="BS249" s="13">
        <v>2</v>
      </c>
      <c r="BT249" s="123">
        <v>44491</v>
      </c>
      <c r="BU249" s="116" t="s">
        <v>8</v>
      </c>
      <c r="BV249" s="115" t="s">
        <v>482</v>
      </c>
      <c r="BW249" s="116" t="s">
        <v>502</v>
      </c>
      <c r="BX249" s="115">
        <v>18400</v>
      </c>
      <c r="BY249" s="115">
        <v>41.7</v>
      </c>
      <c r="BZ249" s="115">
        <v>47.945</v>
      </c>
      <c r="CA249" s="119">
        <v>-3216.6708800000001</v>
      </c>
      <c r="CB249" s="115">
        <v>1.1497601918465228</v>
      </c>
      <c r="CC249" s="115">
        <v>500</v>
      </c>
      <c r="CD249" s="115">
        <v>50</v>
      </c>
      <c r="CE249" s="119">
        <v>20850</v>
      </c>
    </row>
    <row r="250" spans="1:83" hidden="1">
      <c r="A250" s="13">
        <f t="shared" si="753"/>
        <v>243</v>
      </c>
      <c r="B250" s="123">
        <v>44704</v>
      </c>
      <c r="C250" s="116" t="s">
        <v>6</v>
      </c>
      <c r="D250" s="116">
        <v>1</v>
      </c>
      <c r="E250" s="115" t="s">
        <v>482</v>
      </c>
      <c r="F250" s="116" t="s">
        <v>418</v>
      </c>
      <c r="G250" s="115">
        <v>880</v>
      </c>
      <c r="H250" s="117">
        <v>44742</v>
      </c>
      <c r="I250" s="115">
        <v>425</v>
      </c>
      <c r="J250" s="115">
        <v>32</v>
      </c>
      <c r="K250" s="115">
        <v>16</v>
      </c>
      <c r="L250" s="119">
        <f t="shared" ca="1" si="802"/>
        <v>0</v>
      </c>
      <c r="M250" s="119">
        <f t="shared" si="803"/>
        <v>-6800</v>
      </c>
      <c r="N250" s="115">
        <f t="shared" si="804"/>
        <v>0.5</v>
      </c>
      <c r="O250" s="156">
        <f t="shared" si="805"/>
        <v>24</v>
      </c>
      <c r="P250" s="160">
        <f t="shared" si="754"/>
        <v>13600</v>
      </c>
      <c r="Q250" s="160" t="e">
        <f t="shared" si="806"/>
        <v>#N/A</v>
      </c>
      <c r="R250" s="153" t="e">
        <f t="shared" ca="1" si="683"/>
        <v>#N/A</v>
      </c>
      <c r="S250" s="119">
        <f t="shared" si="807"/>
        <v>3.1999999999999993</v>
      </c>
      <c r="T250" s="115" t="e">
        <f>VLOOKUP(TRIM($F250),Reference!B:C,2,0)</f>
        <v>#N/A</v>
      </c>
      <c r="U250" s="170">
        <f t="shared" ca="1" si="808"/>
        <v>0</v>
      </c>
      <c r="V250" s="120" t="str">
        <f t="shared" si="670"/>
        <v>TATASTEEL22JUN880PE</v>
      </c>
      <c r="W250" s="158" t="e">
        <f>VLOOKUP($V250,Reference!BA:BD,4,0)</f>
        <v>#N/A</v>
      </c>
      <c r="X250" s="160">
        <f t="shared" ca="1" si="671"/>
        <v>0</v>
      </c>
      <c r="Y250" s="160">
        <f t="shared" ca="1" si="672"/>
        <v>0</v>
      </c>
      <c r="Z250" s="160">
        <f t="shared" ca="1" si="686"/>
        <v>0</v>
      </c>
      <c r="AA250" s="160">
        <f t="shared" ca="1" si="673"/>
        <v>0</v>
      </c>
      <c r="AB250" s="160">
        <f t="shared" ca="1" si="674"/>
        <v>0</v>
      </c>
      <c r="AC250" s="119">
        <f t="shared" ca="1" si="675"/>
        <v>0</v>
      </c>
      <c r="AD250" s="115">
        <f t="shared" ca="1" si="809"/>
        <v>-1.210958904109589</v>
      </c>
      <c r="AE250" s="115">
        <f t="shared" si="810"/>
        <v>20</v>
      </c>
      <c r="AF250" s="115"/>
      <c r="AG250" s="115"/>
      <c r="AH250" s="115">
        <f t="shared" si="755"/>
        <v>0</v>
      </c>
      <c r="AI250" s="115"/>
      <c r="AJ250" s="115">
        <f t="shared" si="756"/>
        <v>0.40800000000000003</v>
      </c>
      <c r="AK250" s="115"/>
      <c r="AL250" s="142"/>
      <c r="AM250" s="153"/>
      <c r="AN250" s="153"/>
      <c r="AO250" s="153"/>
      <c r="AP250" s="153"/>
      <c r="AQ250" s="153"/>
      <c r="AR250" s="153"/>
      <c r="AS250" s="153"/>
      <c r="AT250" s="153"/>
      <c r="AU250" s="153"/>
      <c r="AV250" s="153"/>
      <c r="AW250" s="153"/>
      <c r="AX250" s="153"/>
      <c r="AY250" s="153"/>
      <c r="AZ250" s="153"/>
      <c r="BA250" s="153"/>
      <c r="BB250" s="153"/>
      <c r="BC250" s="153"/>
      <c r="BD250" s="153"/>
      <c r="BE250" s="153"/>
      <c r="BF250" s="153"/>
      <c r="BG250" s="153"/>
      <c r="BS250" s="13">
        <v>2</v>
      </c>
      <c r="BT250" s="123">
        <v>44491</v>
      </c>
      <c r="BU250" s="116" t="s">
        <v>8</v>
      </c>
      <c r="BV250" s="115" t="s">
        <v>482</v>
      </c>
      <c r="BW250" s="116" t="s">
        <v>502</v>
      </c>
      <c r="BX250" s="115">
        <v>18400</v>
      </c>
      <c r="BY250" s="115">
        <v>41.7</v>
      </c>
      <c r="BZ250" s="115">
        <v>47.945</v>
      </c>
      <c r="CA250" s="119">
        <v>-3216.6708800000001</v>
      </c>
      <c r="CB250" s="115">
        <v>1.1497601918465228</v>
      </c>
      <c r="CC250" s="115">
        <v>500</v>
      </c>
      <c r="CD250" s="115">
        <v>50</v>
      </c>
      <c r="CE250" s="119">
        <v>20850</v>
      </c>
    </row>
    <row r="251" spans="1:83" hidden="1">
      <c r="A251" s="13">
        <f t="shared" si="753"/>
        <v>244</v>
      </c>
      <c r="B251" s="123">
        <v>44704</v>
      </c>
      <c r="C251" s="116" t="s">
        <v>8</v>
      </c>
      <c r="D251" s="116">
        <v>1</v>
      </c>
      <c r="E251" s="115" t="s">
        <v>482</v>
      </c>
      <c r="F251" s="116" t="s">
        <v>418</v>
      </c>
      <c r="G251" s="115">
        <v>1100</v>
      </c>
      <c r="H251" s="117">
        <v>44742</v>
      </c>
      <c r="I251" s="115">
        <v>425</v>
      </c>
      <c r="J251" s="115">
        <v>142.05000000000001</v>
      </c>
      <c r="K251" s="115">
        <v>224.95</v>
      </c>
      <c r="L251" s="119">
        <f t="shared" ca="1" si="802"/>
        <v>0</v>
      </c>
      <c r="M251" s="119">
        <f t="shared" si="803"/>
        <v>-35232.499999999993</v>
      </c>
      <c r="N251" s="115">
        <f t="shared" si="804"/>
        <v>1.5835973248856035</v>
      </c>
      <c r="O251" s="156">
        <f t="shared" si="805"/>
        <v>177.5625</v>
      </c>
      <c r="P251" s="160">
        <f t="shared" si="754"/>
        <v>60371.250000000007</v>
      </c>
      <c r="Q251" s="160" t="e">
        <f t="shared" si="806"/>
        <v>#N/A</v>
      </c>
      <c r="R251" s="153" t="e">
        <f t="shared" ca="1" si="683"/>
        <v>#N/A</v>
      </c>
      <c r="S251" s="119">
        <f t="shared" si="807"/>
        <v>14.204999999999998</v>
      </c>
      <c r="T251" s="115" t="e">
        <f>VLOOKUP(TRIM($F251),Reference!B:C,2,0)</f>
        <v>#N/A</v>
      </c>
      <c r="U251" s="170">
        <f t="shared" ca="1" si="808"/>
        <v>0</v>
      </c>
      <c r="V251" s="120" t="str">
        <f t="shared" si="670"/>
        <v>TATASTEEL22JUN1100PE</v>
      </c>
      <c r="W251" s="158" t="e">
        <f>VLOOKUP($V251,Reference!BA:BD,4,0)</f>
        <v>#N/A</v>
      </c>
      <c r="X251" s="160">
        <f t="shared" ca="1" si="671"/>
        <v>0</v>
      </c>
      <c r="Y251" s="160">
        <f t="shared" ca="1" si="672"/>
        <v>0</v>
      </c>
      <c r="Z251" s="160">
        <f t="shared" ca="1" si="686"/>
        <v>0</v>
      </c>
      <c r="AA251" s="160">
        <f t="shared" ca="1" si="673"/>
        <v>0</v>
      </c>
      <c r="AB251" s="160">
        <f t="shared" ca="1" si="674"/>
        <v>0</v>
      </c>
      <c r="AC251" s="119">
        <f t="shared" ca="1" si="675"/>
        <v>0</v>
      </c>
      <c r="AD251" s="115">
        <f t="shared" ca="1" si="809"/>
        <v>-1.210958904109589</v>
      </c>
      <c r="AE251" s="115">
        <f t="shared" si="810"/>
        <v>20</v>
      </c>
      <c r="AF251" s="115"/>
      <c r="AG251" s="115"/>
      <c r="AH251" s="115">
        <f t="shared" si="755"/>
        <v>30.185625000000005</v>
      </c>
      <c r="AI251" s="115"/>
      <c r="AJ251" s="115">
        <f t="shared" si="756"/>
        <v>0</v>
      </c>
      <c r="AK251" s="115"/>
      <c r="AL251" s="142"/>
      <c r="AM251" s="153"/>
      <c r="AN251" s="153"/>
      <c r="AO251" s="153"/>
      <c r="AP251" s="153"/>
      <c r="AQ251" s="153"/>
      <c r="AR251" s="153"/>
      <c r="AS251" s="153"/>
      <c r="AT251" s="153"/>
      <c r="AU251" s="153"/>
      <c r="AV251" s="153"/>
      <c r="AW251" s="153"/>
      <c r="AX251" s="153"/>
      <c r="AY251" s="153"/>
      <c r="AZ251" s="153"/>
      <c r="BA251" s="153"/>
      <c r="BB251" s="153"/>
      <c r="BC251" s="153"/>
      <c r="BD251" s="153"/>
      <c r="BE251" s="153"/>
      <c r="BF251" s="153"/>
      <c r="BG251" s="153"/>
      <c r="BS251" s="13">
        <v>2</v>
      </c>
      <c r="BT251" s="123">
        <v>44491</v>
      </c>
      <c r="BU251" s="116" t="s">
        <v>8</v>
      </c>
      <c r="BV251" s="115" t="s">
        <v>482</v>
      </c>
      <c r="BW251" s="116" t="s">
        <v>502</v>
      </c>
      <c r="BX251" s="115">
        <v>18400</v>
      </c>
      <c r="BY251" s="115">
        <v>41.7</v>
      </c>
      <c r="BZ251" s="115">
        <v>47.945</v>
      </c>
      <c r="CA251" s="119">
        <v>-3216.6708800000001</v>
      </c>
      <c r="CB251" s="115">
        <v>1.1497601918465228</v>
      </c>
      <c r="CC251" s="115">
        <v>500</v>
      </c>
      <c r="CD251" s="115">
        <v>50</v>
      </c>
      <c r="CE251" s="119">
        <v>20850</v>
      </c>
    </row>
    <row r="252" spans="1:83" hidden="1">
      <c r="A252" s="13">
        <f t="shared" si="753"/>
        <v>245</v>
      </c>
      <c r="B252" s="123">
        <v>44704</v>
      </c>
      <c r="C252" s="116" t="s">
        <v>8</v>
      </c>
      <c r="D252" s="116">
        <v>1</v>
      </c>
      <c r="E252" s="115" t="s">
        <v>481</v>
      </c>
      <c r="F252" s="116" t="s">
        <v>90</v>
      </c>
      <c r="G252" s="115">
        <v>3500</v>
      </c>
      <c r="H252" s="117">
        <v>44742</v>
      </c>
      <c r="I252" s="115">
        <v>150</v>
      </c>
      <c r="J252" s="115">
        <v>41.8</v>
      </c>
      <c r="K252" s="115">
        <v>1.25</v>
      </c>
      <c r="L252" s="119">
        <f t="shared" ref="L252:L253" ca="1" si="811">IF(AND(K252&lt;&gt;0,I252&lt;&gt;0),(IF(C252="B",1,-1))*(K252-J252)*I252-AK252*2,0)*$D252*IF(MONTH($B$2)=MONTH($H252),1,0)</f>
        <v>0</v>
      </c>
      <c r="M252" s="119">
        <f t="shared" ref="M252:M253" si="812">IF(AND(K252&lt;&gt;0,I252&lt;&gt;0),(IF(C252="B",1,-1))*(K252-J252)*I252-AK252*2,0)*$D252</f>
        <v>6082.5</v>
      </c>
      <c r="N252" s="115">
        <f t="shared" ref="N252:N253" si="813">K252/$J252</f>
        <v>2.9904306220095697E-2</v>
      </c>
      <c r="O252" s="156">
        <f t="shared" ref="O252:O253" si="814">J252*(1+$O$6*IF(C252="B",-1,1))</f>
        <v>52.25</v>
      </c>
      <c r="P252" s="160">
        <f t="shared" si="754"/>
        <v>6270</v>
      </c>
      <c r="Q252" s="160" t="e">
        <f t="shared" ref="Q252:Q253" si="815">(W252-J252)*I252*IF(C252="B",1,-1)*IF(K252=0,1,0)</f>
        <v>#N/A</v>
      </c>
      <c r="R252" s="153" t="e">
        <f t="shared" ca="1" si="683"/>
        <v>#VALUE!</v>
      </c>
      <c r="S252" s="119">
        <f t="shared" ref="S252:S253" si="816">(1-$S$6)*J252</f>
        <v>4.1799999999999988</v>
      </c>
      <c r="T252" s="115" t="e">
        <f>VLOOKUP(TRIM($F252),Reference!B:C,2,0)</f>
        <v>#VALUE!</v>
      </c>
      <c r="U252" s="170">
        <f t="shared" ref="U252:U253" ca="1" si="817">AC252</f>
        <v>0</v>
      </c>
      <c r="V252" s="120" t="str">
        <f t="shared" si="670"/>
        <v>TCS22JUN3500CE</v>
      </c>
      <c r="W252" s="158" t="e">
        <f>VLOOKUP($V252,Reference!BA:BD,4,0)</f>
        <v>#N/A</v>
      </c>
      <c r="X252" s="160">
        <f t="shared" ca="1" si="671"/>
        <v>0</v>
      </c>
      <c r="Y252" s="160">
        <f t="shared" ca="1" si="672"/>
        <v>0</v>
      </c>
      <c r="Z252" s="160">
        <f t="shared" ca="1" si="686"/>
        <v>0</v>
      </c>
      <c r="AA252" s="160">
        <f t="shared" ca="1" si="673"/>
        <v>0</v>
      </c>
      <c r="AB252" s="160">
        <f t="shared" ca="1" si="674"/>
        <v>0</v>
      </c>
      <c r="AC252" s="119">
        <f t="shared" ca="1" si="675"/>
        <v>0</v>
      </c>
      <c r="AD252" s="115">
        <f t="shared" ref="AD252:AD253" ca="1" si="818">(H252-TODAY())/365</f>
        <v>-1.210958904109589</v>
      </c>
      <c r="AE252" s="115">
        <f t="shared" ref="AE252:AE253" si="819">IF(I252&lt;&gt;0,20,0)</f>
        <v>20</v>
      </c>
      <c r="AF252" s="115"/>
      <c r="AG252" s="115"/>
      <c r="AH252" s="115">
        <f t="shared" si="755"/>
        <v>3.1350000000000002</v>
      </c>
      <c r="AI252" s="115"/>
      <c r="AJ252" s="115">
        <f t="shared" si="756"/>
        <v>0</v>
      </c>
      <c r="AK252" s="115"/>
      <c r="AL252" s="142"/>
      <c r="AM252" s="153"/>
      <c r="AN252" s="153"/>
      <c r="AO252" s="153"/>
      <c r="AP252" s="153"/>
      <c r="AQ252" s="153"/>
      <c r="AR252" s="153"/>
      <c r="AS252" s="153"/>
      <c r="AT252" s="153"/>
      <c r="AU252" s="153"/>
      <c r="AV252" s="153"/>
      <c r="AW252" s="153"/>
      <c r="AX252" s="153"/>
      <c r="AY252" s="153"/>
      <c r="AZ252" s="153"/>
      <c r="BA252" s="153"/>
      <c r="BB252" s="153"/>
      <c r="BC252" s="153"/>
      <c r="BD252" s="153"/>
      <c r="BE252" s="153"/>
      <c r="BF252" s="153"/>
      <c r="BG252" s="153"/>
      <c r="BS252" s="13">
        <v>2</v>
      </c>
      <c r="BT252" s="123">
        <v>44491</v>
      </c>
      <c r="BU252" s="116" t="s">
        <v>8</v>
      </c>
      <c r="BV252" s="115" t="s">
        <v>482</v>
      </c>
      <c r="BW252" s="116" t="s">
        <v>502</v>
      </c>
      <c r="BX252" s="115">
        <v>18400</v>
      </c>
      <c r="BY252" s="115">
        <v>41.7</v>
      </c>
      <c r="BZ252" s="115">
        <v>47.945</v>
      </c>
      <c r="CA252" s="119">
        <v>-3216.6708800000001</v>
      </c>
      <c r="CB252" s="115">
        <v>1.1497601918465228</v>
      </c>
      <c r="CC252" s="115">
        <v>500</v>
      </c>
      <c r="CD252" s="115">
        <v>50</v>
      </c>
      <c r="CE252" s="119">
        <v>20850</v>
      </c>
    </row>
    <row r="253" spans="1:83" hidden="1">
      <c r="A253" s="13">
        <f t="shared" si="753"/>
        <v>246</v>
      </c>
      <c r="B253" s="123">
        <v>44704</v>
      </c>
      <c r="C253" s="116" t="s">
        <v>6</v>
      </c>
      <c r="D253" s="116">
        <v>1</v>
      </c>
      <c r="E253" s="115" t="s">
        <v>632</v>
      </c>
      <c r="F253" s="116" t="s">
        <v>284</v>
      </c>
      <c r="G253" s="115"/>
      <c r="H253" s="117">
        <v>44742</v>
      </c>
      <c r="I253" s="115">
        <v>1425</v>
      </c>
      <c r="J253" s="115">
        <v>426</v>
      </c>
      <c r="K253" s="115">
        <v>441.15</v>
      </c>
      <c r="L253" s="119">
        <f t="shared" ca="1" si="811"/>
        <v>0</v>
      </c>
      <c r="M253" s="119">
        <f t="shared" si="812"/>
        <v>21588.749999999967</v>
      </c>
      <c r="N253" s="115">
        <f t="shared" si="813"/>
        <v>1.0355633802816901</v>
      </c>
      <c r="O253" s="156">
        <f t="shared" si="814"/>
        <v>319.5</v>
      </c>
      <c r="P253" s="160">
        <f t="shared" si="754"/>
        <v>607050</v>
      </c>
      <c r="Q253" s="160" t="e">
        <f t="shared" si="815"/>
        <v>#N/A</v>
      </c>
      <c r="R253" s="153" t="e">
        <f t="shared" ca="1" si="683"/>
        <v>#VALUE!</v>
      </c>
      <c r="S253" s="119">
        <f t="shared" si="816"/>
        <v>42.599999999999987</v>
      </c>
      <c r="T253" s="115" t="e">
        <f>VLOOKUP(TRIM($F253),Reference!B:C,2,0)</f>
        <v>#VALUE!</v>
      </c>
      <c r="U253" s="170">
        <f t="shared" ca="1" si="817"/>
        <v>0</v>
      </c>
      <c r="V253" s="120" t="str">
        <f t="shared" si="670"/>
        <v>TATAMOTORS22JUNFUT</v>
      </c>
      <c r="W253" s="158" t="e">
        <f>VLOOKUP($V253,Reference!BA:BD,4,0)</f>
        <v>#N/A</v>
      </c>
      <c r="X253" s="160">
        <f t="shared" ca="1" si="671"/>
        <v>0</v>
      </c>
      <c r="Y253" s="160">
        <f t="shared" ca="1" si="672"/>
        <v>0</v>
      </c>
      <c r="Z253" s="160">
        <f t="shared" ca="1" si="686"/>
        <v>0</v>
      </c>
      <c r="AA253" s="160">
        <f t="shared" ca="1" si="673"/>
        <v>0</v>
      </c>
      <c r="AB253" s="160">
        <f t="shared" ca="1" si="674"/>
        <v>0</v>
      </c>
      <c r="AC253" s="119">
        <f t="shared" ca="1" si="675"/>
        <v>0</v>
      </c>
      <c r="AD253" s="115">
        <f t="shared" ca="1" si="818"/>
        <v>-1.210958904109589</v>
      </c>
      <c r="AE253" s="115">
        <f t="shared" si="819"/>
        <v>20</v>
      </c>
      <c r="AF253" s="115"/>
      <c r="AG253" s="115"/>
      <c r="AH253" s="115">
        <f t="shared" si="755"/>
        <v>0</v>
      </c>
      <c r="AI253" s="115"/>
      <c r="AJ253" s="115">
        <f t="shared" si="756"/>
        <v>18.211500000000001</v>
      </c>
      <c r="AK253" s="115"/>
      <c r="AL253" s="142"/>
      <c r="AM253" s="153"/>
      <c r="AN253" s="153"/>
      <c r="AO253" s="153"/>
      <c r="AP253" s="153"/>
      <c r="AQ253" s="153"/>
      <c r="AR253" s="153"/>
      <c r="AS253" s="153"/>
      <c r="AT253" s="153"/>
      <c r="AU253" s="153"/>
      <c r="AV253" s="153"/>
      <c r="AW253" s="153"/>
      <c r="AX253" s="153"/>
      <c r="AY253" s="153"/>
      <c r="AZ253" s="153"/>
      <c r="BA253" s="153"/>
      <c r="BB253" s="153"/>
      <c r="BC253" s="153"/>
      <c r="BD253" s="153"/>
      <c r="BE253" s="153"/>
      <c r="BF253" s="153"/>
      <c r="BG253" s="153"/>
      <c r="BS253" s="13">
        <v>2</v>
      </c>
      <c r="BT253" s="123">
        <v>44491</v>
      </c>
      <c r="BU253" s="116" t="s">
        <v>8</v>
      </c>
      <c r="BV253" s="115" t="s">
        <v>482</v>
      </c>
      <c r="BW253" s="116" t="s">
        <v>502</v>
      </c>
      <c r="BX253" s="115">
        <v>18400</v>
      </c>
      <c r="BY253" s="115">
        <v>41.7</v>
      </c>
      <c r="BZ253" s="115">
        <v>47.945</v>
      </c>
      <c r="CA253" s="119">
        <v>-3216.6708800000001</v>
      </c>
      <c r="CB253" s="115">
        <v>1.1497601918465228</v>
      </c>
      <c r="CC253" s="115">
        <v>500</v>
      </c>
      <c r="CD253" s="115">
        <v>50</v>
      </c>
      <c r="CE253" s="119">
        <v>20850</v>
      </c>
    </row>
    <row r="254" spans="1:83" hidden="1">
      <c r="A254" s="13">
        <f t="shared" si="753"/>
        <v>247</v>
      </c>
      <c r="B254" s="123">
        <v>44704</v>
      </c>
      <c r="C254" s="116" t="s">
        <v>6</v>
      </c>
      <c r="D254" s="116">
        <v>1</v>
      </c>
      <c r="E254" s="115" t="s">
        <v>632</v>
      </c>
      <c r="F254" s="116" t="s">
        <v>90</v>
      </c>
      <c r="G254" s="115"/>
      <c r="H254" s="117">
        <v>44742</v>
      </c>
      <c r="I254" s="115">
        <v>300</v>
      </c>
      <c r="J254" s="115">
        <v>3325.9</v>
      </c>
      <c r="K254" s="115">
        <v>3331.1</v>
      </c>
      <c r="L254" s="119">
        <f t="shared" ref="L254:L255" ca="1" si="820">IF(AND(K254&lt;&gt;0,I254&lt;&gt;0),(IF(C254="B",1,-1))*(K254-J254)*I254-AK254*2,0)*$D254*IF(MONTH($B$2)=MONTH($H254),1,0)</f>
        <v>0</v>
      </c>
      <c r="M254" s="119">
        <f t="shared" ref="M254:M255" si="821">IF(AND(K254&lt;&gt;0,I254&lt;&gt;0),(IF(C254="B",1,-1))*(K254-J254)*I254-AK254*2,0)*$D254</f>
        <v>1559.9999999999454</v>
      </c>
      <c r="N254" s="115">
        <f t="shared" ref="N254:N255" si="822">K254/$J254</f>
        <v>1.0015634865750624</v>
      </c>
      <c r="O254" s="156">
        <f t="shared" ref="O254:O255" si="823">J254*(1+$O$6*IF(C254="B",-1,1))</f>
        <v>2494.4250000000002</v>
      </c>
      <c r="P254" s="160">
        <f t="shared" si="754"/>
        <v>997770</v>
      </c>
      <c r="Q254" s="160" t="e">
        <f t="shared" ref="Q254:Q255" si="824">(W254-J254)*I254*IF(C254="B",1,-1)*IF(K254=0,1,0)</f>
        <v>#N/A</v>
      </c>
      <c r="R254" s="153" t="e">
        <f t="shared" ca="1" si="683"/>
        <v>#VALUE!</v>
      </c>
      <c r="S254" s="119">
        <f t="shared" ref="S254:S255" si="825">(1-$S$6)*J254</f>
        <v>332.58999999999992</v>
      </c>
      <c r="T254" s="115" t="e">
        <f>VLOOKUP(TRIM($F254),Reference!B:C,2,0)</f>
        <v>#VALUE!</v>
      </c>
      <c r="U254" s="170">
        <f t="shared" ref="U254:U255" ca="1" si="826">AC254</f>
        <v>0</v>
      </c>
      <c r="V254" s="120" t="str">
        <f t="shared" si="670"/>
        <v>TCS22JUNFUT</v>
      </c>
      <c r="W254" s="158" t="e">
        <f>VLOOKUP($V254,Reference!BA:BD,4,0)</f>
        <v>#N/A</v>
      </c>
      <c r="X254" s="160">
        <f t="shared" ca="1" si="671"/>
        <v>0</v>
      </c>
      <c r="Y254" s="160">
        <f t="shared" ca="1" si="672"/>
        <v>0</v>
      </c>
      <c r="Z254" s="160">
        <f t="shared" ca="1" si="686"/>
        <v>0</v>
      </c>
      <c r="AA254" s="160">
        <f t="shared" ca="1" si="673"/>
        <v>0</v>
      </c>
      <c r="AB254" s="160">
        <f t="shared" ca="1" si="674"/>
        <v>0</v>
      </c>
      <c r="AC254" s="119">
        <f t="shared" ca="1" si="675"/>
        <v>0</v>
      </c>
      <c r="AD254" s="115">
        <f t="shared" ref="AD254:AD255" ca="1" si="827">(H254-TODAY())/365</f>
        <v>-1.210958904109589</v>
      </c>
      <c r="AE254" s="115">
        <f t="shared" ref="AE254:AE255" si="828">IF(I254&lt;&gt;0,20,0)</f>
        <v>20</v>
      </c>
      <c r="AF254" s="115"/>
      <c r="AG254" s="115"/>
      <c r="AH254" s="115">
        <f t="shared" si="755"/>
        <v>0</v>
      </c>
      <c r="AI254" s="115"/>
      <c r="AJ254" s="115">
        <f t="shared" si="756"/>
        <v>29.9331</v>
      </c>
      <c r="AK254" s="115"/>
      <c r="AL254" s="142"/>
      <c r="AM254" s="153"/>
      <c r="AN254" s="153"/>
      <c r="AO254" s="153"/>
      <c r="AP254" s="153"/>
      <c r="AQ254" s="153"/>
      <c r="AR254" s="153"/>
      <c r="AS254" s="153"/>
      <c r="AT254" s="153"/>
      <c r="AU254" s="153"/>
      <c r="AV254" s="153"/>
      <c r="AW254" s="153"/>
      <c r="AX254" s="153"/>
      <c r="AY254" s="153"/>
      <c r="AZ254" s="153"/>
      <c r="BA254" s="153"/>
      <c r="BB254" s="153"/>
      <c r="BC254" s="153"/>
      <c r="BD254" s="153"/>
      <c r="BE254" s="153"/>
      <c r="BF254" s="153"/>
      <c r="BG254" s="153"/>
      <c r="BS254" s="13">
        <v>2</v>
      </c>
      <c r="BT254" s="123">
        <v>44491</v>
      </c>
      <c r="BU254" s="116" t="s">
        <v>8</v>
      </c>
      <c r="BV254" s="115" t="s">
        <v>482</v>
      </c>
      <c r="BW254" s="116" t="s">
        <v>502</v>
      </c>
      <c r="BX254" s="115">
        <v>18400</v>
      </c>
      <c r="BY254" s="115">
        <v>41.7</v>
      </c>
      <c r="BZ254" s="115">
        <v>47.945</v>
      </c>
      <c r="CA254" s="119">
        <v>-3216.6708800000001</v>
      </c>
      <c r="CB254" s="115">
        <v>1.1497601918465228</v>
      </c>
      <c r="CC254" s="115">
        <v>500</v>
      </c>
      <c r="CD254" s="115">
        <v>50</v>
      </c>
      <c r="CE254" s="119">
        <v>20850</v>
      </c>
    </row>
    <row r="255" spans="1:83" hidden="1">
      <c r="A255" s="13">
        <f t="shared" si="753"/>
        <v>248</v>
      </c>
      <c r="B255" s="123">
        <v>44704</v>
      </c>
      <c r="C255" s="116" t="s">
        <v>8</v>
      </c>
      <c r="D255" s="116">
        <v>1</v>
      </c>
      <c r="E255" s="115" t="s">
        <v>481</v>
      </c>
      <c r="F255" s="116" t="s">
        <v>506</v>
      </c>
      <c r="G255" s="115">
        <v>37000</v>
      </c>
      <c r="H255" s="117">
        <v>44742</v>
      </c>
      <c r="I255" s="115">
        <v>25</v>
      </c>
      <c r="J255" s="115">
        <v>300.60000000000002</v>
      </c>
      <c r="K255" s="115">
        <v>3.1</v>
      </c>
      <c r="L255" s="119">
        <f t="shared" ca="1" si="820"/>
        <v>0</v>
      </c>
      <c r="M255" s="119">
        <f t="shared" si="821"/>
        <v>7437.5</v>
      </c>
      <c r="N255" s="115">
        <f t="shared" si="822"/>
        <v>1.0312707917498337E-2</v>
      </c>
      <c r="O255" s="156">
        <f t="shared" si="823"/>
        <v>375.75</v>
      </c>
      <c r="P255" s="160">
        <f t="shared" si="754"/>
        <v>7515.0000000000009</v>
      </c>
      <c r="Q255" s="160" t="e">
        <f t="shared" si="824"/>
        <v>#N/A</v>
      </c>
      <c r="R255" s="153" t="e">
        <f t="shared" ca="1" si="683"/>
        <v>#VALUE!</v>
      </c>
      <c r="S255" s="119">
        <f t="shared" si="825"/>
        <v>30.059999999999995</v>
      </c>
      <c r="T255" s="115" t="str">
        <f>VLOOKUP(TRIM($F255),Reference!B:C,2,0)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55" s="170">
        <f t="shared" ca="1" si="826"/>
        <v>0</v>
      </c>
      <c r="V255" s="120" t="str">
        <f t="shared" si="670"/>
        <v>BANKNIFTY22JUN37000CE</v>
      </c>
      <c r="W255" s="158" t="e">
        <f>VLOOKUP($V255,Reference!BA:BD,4,0)</f>
        <v>#N/A</v>
      </c>
      <c r="X255" s="160">
        <f t="shared" ca="1" si="671"/>
        <v>0</v>
      </c>
      <c r="Y255" s="160">
        <f t="shared" ca="1" si="672"/>
        <v>0</v>
      </c>
      <c r="Z255" s="160">
        <f t="shared" ca="1" si="686"/>
        <v>0</v>
      </c>
      <c r="AA255" s="160">
        <f t="shared" ca="1" si="673"/>
        <v>0</v>
      </c>
      <c r="AB255" s="160">
        <f t="shared" ca="1" si="674"/>
        <v>0</v>
      </c>
      <c r="AC255" s="119">
        <f t="shared" ca="1" si="675"/>
        <v>0</v>
      </c>
      <c r="AD255" s="115">
        <f t="shared" ca="1" si="827"/>
        <v>-1.210958904109589</v>
      </c>
      <c r="AE255" s="115">
        <f t="shared" si="828"/>
        <v>20</v>
      </c>
      <c r="AF255" s="115"/>
      <c r="AG255" s="115"/>
      <c r="AH255" s="115">
        <f t="shared" si="755"/>
        <v>3.7575000000000007</v>
      </c>
      <c r="AI255" s="115"/>
      <c r="AJ255" s="115">
        <f t="shared" si="756"/>
        <v>0</v>
      </c>
      <c r="AK255" s="115"/>
      <c r="AL255" s="142"/>
      <c r="AM255" s="153"/>
      <c r="AN255" s="153"/>
      <c r="AO255" s="153"/>
      <c r="AP255" s="153"/>
      <c r="AQ255" s="153"/>
      <c r="AR255" s="153"/>
      <c r="AS255" s="153"/>
      <c r="AT255" s="153"/>
      <c r="AU255" s="153"/>
      <c r="AV255" s="153"/>
      <c r="AW255" s="153"/>
      <c r="AX255" s="153"/>
      <c r="AY255" s="153"/>
      <c r="AZ255" s="153"/>
      <c r="BA255" s="153"/>
      <c r="BB255" s="153"/>
      <c r="BC255" s="153"/>
      <c r="BD255" s="153"/>
      <c r="BE255" s="153"/>
      <c r="BF255" s="153"/>
      <c r="BG255" s="153"/>
      <c r="BS255" s="13">
        <v>2</v>
      </c>
      <c r="BT255" s="123">
        <v>44491</v>
      </c>
      <c r="BU255" s="116" t="s">
        <v>8</v>
      </c>
      <c r="BV255" s="115" t="s">
        <v>482</v>
      </c>
      <c r="BW255" s="116" t="s">
        <v>502</v>
      </c>
      <c r="BX255" s="115">
        <v>18400</v>
      </c>
      <c r="BY255" s="115">
        <v>41.7</v>
      </c>
      <c r="BZ255" s="115">
        <v>47.945</v>
      </c>
      <c r="CA255" s="119">
        <v>-3216.6708800000001</v>
      </c>
      <c r="CB255" s="115">
        <v>1.1497601918465228</v>
      </c>
      <c r="CC255" s="115">
        <v>500</v>
      </c>
      <c r="CD255" s="115">
        <v>50</v>
      </c>
      <c r="CE255" s="119">
        <v>20850</v>
      </c>
    </row>
    <row r="256" spans="1:83" hidden="1">
      <c r="A256" s="13">
        <f t="shared" si="753"/>
        <v>249</v>
      </c>
      <c r="B256" s="123">
        <v>44704</v>
      </c>
      <c r="C256" s="116" t="s">
        <v>8</v>
      </c>
      <c r="D256" s="116">
        <v>1</v>
      </c>
      <c r="E256" s="115" t="s">
        <v>481</v>
      </c>
      <c r="F256" s="116" t="s">
        <v>399</v>
      </c>
      <c r="G256" s="115">
        <v>1740</v>
      </c>
      <c r="H256" s="117">
        <v>44742</v>
      </c>
      <c r="I256" s="115">
        <v>575</v>
      </c>
      <c r="J256" s="115">
        <v>20.5</v>
      </c>
      <c r="K256" s="115">
        <v>0.1</v>
      </c>
      <c r="L256" s="119">
        <f t="shared" ref="L256" ca="1" si="829">IF(AND(K256&lt;&gt;0,I256&lt;&gt;0),(IF(C256="B",1,-1))*(K256-J256)*I256-AK256*2,0)*$D256*IF(MONTH($B$2)=MONTH($H256),1,0)</f>
        <v>0</v>
      </c>
      <c r="M256" s="119">
        <f t="shared" ref="M256" si="830">IF(AND(K256&lt;&gt;0,I256&lt;&gt;0),(IF(C256="B",1,-1))*(K256-J256)*I256-AK256*2,0)*$D256</f>
        <v>11730</v>
      </c>
      <c r="N256" s="115">
        <f t="shared" ref="N256" si="831">K256/$J256</f>
        <v>4.8780487804878049E-3</v>
      </c>
      <c r="O256" s="156">
        <f t="shared" ref="O256" si="832">J256*(1+$O$6*IF(C256="B",-1,1))</f>
        <v>25.625</v>
      </c>
      <c r="P256" s="160">
        <f t="shared" si="754"/>
        <v>11787.5</v>
      </c>
      <c r="Q256" s="160" t="e">
        <f t="shared" ref="Q256" si="833">(W256-J256)*I256*IF(C256="B",1,-1)*IF(K256=0,1,0)</f>
        <v>#N/A</v>
      </c>
      <c r="R256" s="153" t="e">
        <f t="shared" ca="1" si="683"/>
        <v>#VALUE!</v>
      </c>
      <c r="S256" s="119">
        <f t="shared" ref="S256" si="834">(1-$S$6)*J256</f>
        <v>2.0499999999999994</v>
      </c>
      <c r="T256" s="115" t="e">
        <f>VLOOKUP(TRIM($F256),Reference!B:C,2,0)</f>
        <v>#VALUE!</v>
      </c>
      <c r="U256" s="170">
        <f t="shared" ref="U256" ca="1" si="835">AC256</f>
        <v>0</v>
      </c>
      <c r="V256" s="120" t="str">
        <f t="shared" si="670"/>
        <v>LT22JUN1740CE</v>
      </c>
      <c r="W256" s="158" t="e">
        <f>VLOOKUP($V256,Reference!BA:BD,4,0)</f>
        <v>#N/A</v>
      </c>
      <c r="X256" s="160">
        <f t="shared" ca="1" si="671"/>
        <v>0</v>
      </c>
      <c r="Y256" s="160">
        <f t="shared" ca="1" si="672"/>
        <v>0</v>
      </c>
      <c r="Z256" s="160">
        <f t="shared" ca="1" si="686"/>
        <v>0</v>
      </c>
      <c r="AA256" s="160">
        <f t="shared" ca="1" si="673"/>
        <v>0</v>
      </c>
      <c r="AB256" s="160">
        <f t="shared" ca="1" si="674"/>
        <v>0</v>
      </c>
      <c r="AC256" s="119">
        <f t="shared" ca="1" si="675"/>
        <v>0</v>
      </c>
      <c r="AD256" s="115">
        <f t="shared" ref="AD256" ca="1" si="836">(H256-TODAY())/365</f>
        <v>-1.210958904109589</v>
      </c>
      <c r="AE256" s="115">
        <f t="shared" ref="AE256" si="837">IF(I256&lt;&gt;0,20,0)</f>
        <v>20</v>
      </c>
      <c r="AF256" s="115"/>
      <c r="AG256" s="115"/>
      <c r="AH256" s="115">
        <f t="shared" si="755"/>
        <v>5.8937499999999998</v>
      </c>
      <c r="AI256" s="115"/>
      <c r="AJ256" s="115">
        <f t="shared" si="756"/>
        <v>0</v>
      </c>
      <c r="AK256" s="115"/>
      <c r="AL256" s="142"/>
      <c r="AM256" s="153"/>
      <c r="AN256" s="153"/>
      <c r="AO256" s="153"/>
      <c r="AP256" s="153"/>
      <c r="AQ256" s="153"/>
      <c r="AR256" s="153"/>
      <c r="AS256" s="153"/>
      <c r="AT256" s="153"/>
      <c r="AU256" s="153"/>
      <c r="AV256" s="153"/>
      <c r="AW256" s="153"/>
      <c r="AX256" s="153"/>
      <c r="AY256" s="153"/>
      <c r="AZ256" s="153"/>
      <c r="BA256" s="153"/>
      <c r="BB256" s="153"/>
      <c r="BC256" s="153"/>
      <c r="BD256" s="153"/>
      <c r="BE256" s="153"/>
      <c r="BF256" s="153"/>
      <c r="BG256" s="153"/>
      <c r="BS256" s="13">
        <v>2</v>
      </c>
      <c r="BT256" s="123">
        <v>44491</v>
      </c>
      <c r="BU256" s="116" t="s">
        <v>8</v>
      </c>
      <c r="BV256" s="115" t="s">
        <v>482</v>
      </c>
      <c r="BW256" s="116" t="s">
        <v>502</v>
      </c>
      <c r="BX256" s="115">
        <v>18400</v>
      </c>
      <c r="BY256" s="115">
        <v>41.7</v>
      </c>
      <c r="BZ256" s="115">
        <v>47.945</v>
      </c>
      <c r="CA256" s="119">
        <v>-3216.6708800000001</v>
      </c>
      <c r="CB256" s="115">
        <v>1.1497601918465228</v>
      </c>
      <c r="CC256" s="115">
        <v>500</v>
      </c>
      <c r="CD256" s="115">
        <v>50</v>
      </c>
      <c r="CE256" s="119">
        <v>20850</v>
      </c>
    </row>
    <row r="257" spans="1:83" hidden="1">
      <c r="A257" s="13">
        <f t="shared" si="753"/>
        <v>250</v>
      </c>
      <c r="B257" s="123">
        <v>44704</v>
      </c>
      <c r="C257" s="116" t="s">
        <v>8</v>
      </c>
      <c r="D257" s="116">
        <v>1</v>
      </c>
      <c r="E257" s="115" t="s">
        <v>481</v>
      </c>
      <c r="F257" s="116" t="s">
        <v>126</v>
      </c>
      <c r="G257" s="115">
        <v>220</v>
      </c>
      <c r="H257" s="117">
        <v>44742</v>
      </c>
      <c r="I257" s="115">
        <v>3750</v>
      </c>
      <c r="J257" s="115">
        <v>3.1</v>
      </c>
      <c r="K257" s="115">
        <v>0.65</v>
      </c>
      <c r="L257" s="119">
        <f t="shared" ref="L257:L258" ca="1" si="838">IF(AND(K257&lt;&gt;0,I257&lt;&gt;0),(IF(C257="B",1,-1))*(K257-J257)*I257-AK257*2,0)*$D257*IF(MONTH($B$2)=MONTH($H257),1,0)</f>
        <v>0</v>
      </c>
      <c r="M257" s="119">
        <f t="shared" ref="M257:M258" si="839">IF(AND(K257&lt;&gt;0,I257&lt;&gt;0),(IF(C257="B",1,-1))*(K257-J257)*I257-AK257*2,0)*$D257</f>
        <v>9187.5</v>
      </c>
      <c r="N257" s="115">
        <f t="shared" ref="N257:N258" si="840">K257/$J257</f>
        <v>0.20967741935483872</v>
      </c>
      <c r="O257" s="156">
        <f t="shared" ref="O257:O258" si="841">J257*(1+$O$6*IF(C257="B",-1,1))</f>
        <v>3.875</v>
      </c>
      <c r="P257" s="160">
        <f t="shared" si="754"/>
        <v>11625</v>
      </c>
      <c r="Q257" s="160" t="e">
        <f t="shared" ref="Q257:Q258" si="842">(W257-J257)*I257*IF(C257="B",1,-1)*IF(K257=0,1,0)</f>
        <v>#N/A</v>
      </c>
      <c r="R257" s="153" t="e">
        <f t="shared" ca="1" si="683"/>
        <v>#VALUE!</v>
      </c>
      <c r="S257" s="119">
        <f t="shared" ref="S257:S258" si="843">(1-$S$6)*J257</f>
        <v>0.30999999999999994</v>
      </c>
      <c r="T257" s="115" t="e">
        <f>VLOOKUP(TRIM($F257),Reference!B:C,2,0)</f>
        <v>#VALUE!</v>
      </c>
      <c r="U257" s="170">
        <f t="shared" ref="U257:U258" ca="1" si="844">AC257</f>
        <v>0</v>
      </c>
      <c r="V257" s="120" t="str">
        <f t="shared" si="670"/>
        <v>IEX22JUN220CE</v>
      </c>
      <c r="W257" s="158" t="e">
        <f>VLOOKUP($V257,Reference!BA:BD,4,0)</f>
        <v>#N/A</v>
      </c>
      <c r="X257" s="160">
        <f t="shared" ca="1" si="671"/>
        <v>0</v>
      </c>
      <c r="Y257" s="160">
        <f t="shared" ca="1" si="672"/>
        <v>0</v>
      </c>
      <c r="Z257" s="160">
        <f t="shared" ca="1" si="686"/>
        <v>0</v>
      </c>
      <c r="AA257" s="160">
        <f t="shared" ca="1" si="673"/>
        <v>0</v>
      </c>
      <c r="AB257" s="160">
        <f t="shared" ca="1" si="674"/>
        <v>0</v>
      </c>
      <c r="AC257" s="119">
        <f t="shared" ca="1" si="675"/>
        <v>0</v>
      </c>
      <c r="AD257" s="115">
        <f t="shared" ref="AD257:AD258" ca="1" si="845">(H257-TODAY())/365</f>
        <v>-1.210958904109589</v>
      </c>
      <c r="AE257" s="115">
        <f t="shared" ref="AE257:AE258" si="846">IF(I257&lt;&gt;0,20,0)</f>
        <v>20</v>
      </c>
      <c r="AF257" s="115"/>
      <c r="AG257" s="115"/>
      <c r="AH257" s="115">
        <f t="shared" si="755"/>
        <v>5.8125</v>
      </c>
      <c r="AI257" s="115"/>
      <c r="AJ257" s="115">
        <f t="shared" si="756"/>
        <v>0</v>
      </c>
      <c r="AK257" s="115"/>
      <c r="AL257" s="142"/>
      <c r="AM257" s="153"/>
      <c r="AN257" s="153"/>
      <c r="AO257" s="153"/>
      <c r="AP257" s="153"/>
      <c r="AQ257" s="153"/>
      <c r="AR257" s="153"/>
      <c r="AS257" s="153"/>
      <c r="AT257" s="153"/>
      <c r="AU257" s="153"/>
      <c r="AV257" s="153"/>
      <c r="AW257" s="153"/>
      <c r="AX257" s="153"/>
      <c r="AY257" s="153"/>
      <c r="AZ257" s="153"/>
      <c r="BA257" s="153"/>
      <c r="BB257" s="153"/>
      <c r="BC257" s="153"/>
      <c r="BD257" s="153"/>
      <c r="BE257" s="153"/>
      <c r="BF257" s="153"/>
      <c r="BG257" s="153"/>
      <c r="BS257" s="13">
        <v>2</v>
      </c>
      <c r="BT257" s="123">
        <v>44491</v>
      </c>
      <c r="BU257" s="116" t="s">
        <v>8</v>
      </c>
      <c r="BV257" s="115" t="s">
        <v>482</v>
      </c>
      <c r="BW257" s="116" t="s">
        <v>502</v>
      </c>
      <c r="BX257" s="115">
        <v>18400</v>
      </c>
      <c r="BY257" s="115">
        <v>41.7</v>
      </c>
      <c r="BZ257" s="115">
        <v>47.945</v>
      </c>
      <c r="CA257" s="119">
        <v>-3216.6708800000001</v>
      </c>
      <c r="CB257" s="115">
        <v>1.1497601918465228</v>
      </c>
      <c r="CC257" s="115">
        <v>500</v>
      </c>
      <c r="CD257" s="115">
        <v>50</v>
      </c>
      <c r="CE257" s="119">
        <v>20850</v>
      </c>
    </row>
    <row r="258" spans="1:83" hidden="1">
      <c r="A258" s="13">
        <f t="shared" si="753"/>
        <v>251</v>
      </c>
      <c r="B258" s="123">
        <v>44704</v>
      </c>
      <c r="C258" s="116" t="s">
        <v>6</v>
      </c>
      <c r="D258" s="116">
        <v>1</v>
      </c>
      <c r="E258" s="115" t="s">
        <v>632</v>
      </c>
      <c r="F258" s="116" t="s">
        <v>399</v>
      </c>
      <c r="G258" s="115"/>
      <c r="H258" s="117">
        <v>44770</v>
      </c>
      <c r="I258" s="115">
        <v>300</v>
      </c>
      <c r="J258" s="115">
        <v>1636.5</v>
      </c>
      <c r="K258" s="115">
        <v>1643.9</v>
      </c>
      <c r="L258" s="119">
        <f t="shared" ca="1" si="838"/>
        <v>0</v>
      </c>
      <c r="M258" s="119">
        <f t="shared" si="839"/>
        <v>2220.0000000000273</v>
      </c>
      <c r="N258" s="115">
        <f t="shared" si="840"/>
        <v>1.0045218454017721</v>
      </c>
      <c r="O258" s="156">
        <f t="shared" si="841"/>
        <v>1227.375</v>
      </c>
      <c r="P258" s="160">
        <f t="shared" si="754"/>
        <v>490950</v>
      </c>
      <c r="Q258" s="160" t="e">
        <f t="shared" si="842"/>
        <v>#N/A</v>
      </c>
      <c r="R258" s="153" t="e">
        <f t="shared" ca="1" si="683"/>
        <v>#VALUE!</v>
      </c>
      <c r="S258" s="119">
        <f t="shared" si="843"/>
        <v>163.64999999999998</v>
      </c>
      <c r="T258" s="115" t="e">
        <f>VLOOKUP(TRIM($F258),Reference!B:C,2,0)</f>
        <v>#VALUE!</v>
      </c>
      <c r="U258" s="170">
        <f t="shared" ca="1" si="844"/>
        <v>0</v>
      </c>
      <c r="V258" s="120" t="str">
        <f t="shared" si="670"/>
        <v>LT22JULFUT</v>
      </c>
      <c r="W258" s="158" t="e">
        <f>VLOOKUP($V258,Reference!BA:BD,4,0)</f>
        <v>#N/A</v>
      </c>
      <c r="X258" s="160">
        <f t="shared" ca="1" si="671"/>
        <v>0</v>
      </c>
      <c r="Y258" s="160">
        <f t="shared" ca="1" si="672"/>
        <v>0</v>
      </c>
      <c r="Z258" s="160">
        <f t="shared" ca="1" si="686"/>
        <v>0</v>
      </c>
      <c r="AA258" s="160">
        <f t="shared" ca="1" si="673"/>
        <v>0</v>
      </c>
      <c r="AB258" s="160">
        <f t="shared" ca="1" si="674"/>
        <v>0</v>
      </c>
      <c r="AC258" s="119">
        <f t="shared" ca="1" si="675"/>
        <v>0</v>
      </c>
      <c r="AD258" s="115">
        <f t="shared" ca="1" si="845"/>
        <v>-1.1342465753424658</v>
      </c>
      <c r="AE258" s="115">
        <f t="shared" si="846"/>
        <v>20</v>
      </c>
      <c r="AF258" s="115"/>
      <c r="AG258" s="115"/>
      <c r="AH258" s="115">
        <f t="shared" si="755"/>
        <v>0</v>
      </c>
      <c r="AI258" s="115"/>
      <c r="AJ258" s="115">
        <f t="shared" si="756"/>
        <v>14.7285</v>
      </c>
      <c r="AK258" s="115"/>
      <c r="AL258" s="142"/>
      <c r="AM258" s="153"/>
      <c r="AN258" s="153"/>
      <c r="AO258" s="153"/>
      <c r="AP258" s="153"/>
      <c r="AQ258" s="153"/>
      <c r="AR258" s="153"/>
      <c r="AS258" s="153"/>
      <c r="AT258" s="153"/>
      <c r="AU258" s="153"/>
      <c r="AV258" s="153"/>
      <c r="AW258" s="153"/>
      <c r="AX258" s="153"/>
      <c r="AY258" s="153"/>
      <c r="AZ258" s="153"/>
      <c r="BA258" s="153"/>
      <c r="BB258" s="153"/>
      <c r="BC258" s="153"/>
      <c r="BD258" s="153"/>
      <c r="BE258" s="153"/>
      <c r="BF258" s="153"/>
      <c r="BG258" s="153"/>
      <c r="BS258" s="13">
        <v>2</v>
      </c>
      <c r="BT258" s="123">
        <v>44491</v>
      </c>
      <c r="BU258" s="116" t="s">
        <v>8</v>
      </c>
      <c r="BV258" s="115" t="s">
        <v>482</v>
      </c>
      <c r="BW258" s="116" t="s">
        <v>502</v>
      </c>
      <c r="BX258" s="115">
        <v>18400</v>
      </c>
      <c r="BY258" s="115">
        <v>41.7</v>
      </c>
      <c r="BZ258" s="115">
        <v>47.945</v>
      </c>
      <c r="CA258" s="119">
        <v>-3216.6708800000001</v>
      </c>
      <c r="CB258" s="115">
        <v>1.1497601918465228</v>
      </c>
      <c r="CC258" s="115">
        <v>500</v>
      </c>
      <c r="CD258" s="115">
        <v>50</v>
      </c>
      <c r="CE258" s="119">
        <v>20850</v>
      </c>
    </row>
    <row r="259" spans="1:83" hidden="1">
      <c r="A259" s="13">
        <f t="shared" si="753"/>
        <v>252</v>
      </c>
      <c r="B259" s="123">
        <v>44704</v>
      </c>
      <c r="C259" s="116" t="s">
        <v>6</v>
      </c>
      <c r="D259" s="116">
        <v>1</v>
      </c>
      <c r="E259" s="115" t="s">
        <v>632</v>
      </c>
      <c r="F259" s="116" t="s">
        <v>399</v>
      </c>
      <c r="G259" s="115"/>
      <c r="H259" s="117">
        <v>44770</v>
      </c>
      <c r="I259" s="115">
        <v>300</v>
      </c>
      <c r="J259" s="115">
        <v>1634</v>
      </c>
      <c r="K259" s="115">
        <v>1655.6</v>
      </c>
      <c r="L259" s="119">
        <f t="shared" ref="L259:L262" ca="1" si="847">IF(AND(K259&lt;&gt;0,I259&lt;&gt;0),(IF(C259="B",1,-1))*(K259-J259)*I259-AK259*2,0)*$D259*IF(MONTH($B$2)=MONTH($H259),1,0)</f>
        <v>0</v>
      </c>
      <c r="M259" s="119">
        <f t="shared" ref="M259:M262" si="848">IF(AND(K259&lt;&gt;0,I259&lt;&gt;0),(IF(C259="B",1,-1))*(K259-J259)*I259-AK259*2,0)*$D259</f>
        <v>6479.9999999999727</v>
      </c>
      <c r="N259" s="115">
        <f t="shared" ref="N259:N262" si="849">K259/$J259</f>
        <v>1.0132190942472459</v>
      </c>
      <c r="O259" s="156">
        <f t="shared" ref="O259:O262" si="850">J259*(1+$O$6*IF(C259="B",-1,1))</f>
        <v>1225.5</v>
      </c>
      <c r="P259" s="160">
        <f t="shared" si="754"/>
        <v>490200</v>
      </c>
      <c r="Q259" s="160" t="e">
        <f t="shared" ref="Q259:Q262" si="851">(W259-J259)*I259*IF(C259="B",1,-1)*IF(K259=0,1,0)</f>
        <v>#N/A</v>
      </c>
      <c r="R259" s="153" t="e">
        <f t="shared" ca="1" si="683"/>
        <v>#VALUE!</v>
      </c>
      <c r="S259" s="119">
        <f t="shared" ref="S259:S262" si="852">(1-$S$6)*J259</f>
        <v>163.39999999999998</v>
      </c>
      <c r="T259" s="115" t="e">
        <f>VLOOKUP(TRIM($F259),Reference!B:C,2,0)</f>
        <v>#VALUE!</v>
      </c>
      <c r="U259" s="170">
        <f t="shared" ref="U259:U262" ca="1" si="853">AC259</f>
        <v>0</v>
      </c>
      <c r="V259" s="120" t="str">
        <f t="shared" si="670"/>
        <v>LT22JULFUT</v>
      </c>
      <c r="W259" s="158" t="e">
        <f>VLOOKUP($V259,Reference!BA:BD,4,0)</f>
        <v>#N/A</v>
      </c>
      <c r="X259" s="160">
        <f t="shared" ca="1" si="671"/>
        <v>0</v>
      </c>
      <c r="Y259" s="160">
        <f t="shared" ca="1" si="672"/>
        <v>0</v>
      </c>
      <c r="Z259" s="160">
        <f t="shared" ca="1" si="686"/>
        <v>0</v>
      </c>
      <c r="AA259" s="160">
        <f t="shared" ca="1" si="673"/>
        <v>0</v>
      </c>
      <c r="AB259" s="160">
        <f t="shared" ca="1" si="674"/>
        <v>0</v>
      </c>
      <c r="AC259" s="119">
        <f t="shared" ca="1" si="675"/>
        <v>0</v>
      </c>
      <c r="AD259" s="115">
        <f t="shared" ref="AD259:AD262" ca="1" si="854">(H259-TODAY())/365</f>
        <v>-1.1342465753424658</v>
      </c>
      <c r="AE259" s="115">
        <f t="shared" ref="AE259:AE262" si="855">IF(I259&lt;&gt;0,20,0)</f>
        <v>20</v>
      </c>
      <c r="AF259" s="115"/>
      <c r="AG259" s="115"/>
      <c r="AH259" s="115">
        <f t="shared" si="755"/>
        <v>0</v>
      </c>
      <c r="AI259" s="115"/>
      <c r="AJ259" s="115">
        <f t="shared" si="756"/>
        <v>14.706</v>
      </c>
      <c r="AK259" s="115"/>
      <c r="AL259" s="142"/>
      <c r="AM259" s="153"/>
      <c r="AN259" s="153"/>
      <c r="AO259" s="153"/>
      <c r="AP259" s="153"/>
      <c r="AQ259" s="153"/>
      <c r="AR259" s="153"/>
      <c r="AS259" s="153"/>
      <c r="AT259" s="153"/>
      <c r="AU259" s="153"/>
      <c r="AV259" s="153"/>
      <c r="AW259" s="153"/>
      <c r="AX259" s="153"/>
      <c r="AY259" s="153"/>
      <c r="AZ259" s="153"/>
      <c r="BA259" s="153"/>
      <c r="BB259" s="153"/>
      <c r="BC259" s="153"/>
      <c r="BD259" s="153"/>
      <c r="BE259" s="153"/>
      <c r="BF259" s="153"/>
      <c r="BG259" s="153"/>
      <c r="BS259" s="13">
        <v>2</v>
      </c>
      <c r="BT259" s="123">
        <v>44491</v>
      </c>
      <c r="BU259" s="116" t="s">
        <v>8</v>
      </c>
      <c r="BV259" s="115" t="s">
        <v>482</v>
      </c>
      <c r="BW259" s="116" t="s">
        <v>502</v>
      </c>
      <c r="BX259" s="115">
        <v>18400</v>
      </c>
      <c r="BY259" s="115">
        <v>41.7</v>
      </c>
      <c r="BZ259" s="115">
        <v>47.945</v>
      </c>
      <c r="CA259" s="119">
        <v>-3216.6708800000001</v>
      </c>
      <c r="CB259" s="115">
        <v>1.1497601918465228</v>
      </c>
      <c r="CC259" s="115">
        <v>500</v>
      </c>
      <c r="CD259" s="115">
        <v>50</v>
      </c>
      <c r="CE259" s="119">
        <v>20850</v>
      </c>
    </row>
    <row r="260" spans="1:83" hidden="1">
      <c r="A260" s="13">
        <f t="shared" si="753"/>
        <v>253</v>
      </c>
      <c r="B260" s="123">
        <v>44704</v>
      </c>
      <c r="C260" s="116" t="s">
        <v>6</v>
      </c>
      <c r="D260" s="116">
        <v>1</v>
      </c>
      <c r="E260" s="115" t="s">
        <v>632</v>
      </c>
      <c r="F260" s="116" t="s">
        <v>399</v>
      </c>
      <c r="G260" s="115"/>
      <c r="H260" s="117">
        <v>44770</v>
      </c>
      <c r="I260" s="115">
        <v>300</v>
      </c>
      <c r="J260" s="115">
        <v>1640</v>
      </c>
      <c r="K260" s="115">
        <v>1655.6</v>
      </c>
      <c r="L260" s="119">
        <f t="shared" ca="1" si="847"/>
        <v>0</v>
      </c>
      <c r="M260" s="119">
        <f t="shared" si="848"/>
        <v>4679.9999999999727</v>
      </c>
      <c r="N260" s="115">
        <f t="shared" si="849"/>
        <v>1.0095121951219512</v>
      </c>
      <c r="O260" s="156">
        <f t="shared" si="850"/>
        <v>1230</v>
      </c>
      <c r="P260" s="160">
        <f t="shared" si="754"/>
        <v>492000</v>
      </c>
      <c r="Q260" s="160" t="e">
        <f t="shared" si="851"/>
        <v>#N/A</v>
      </c>
      <c r="R260" s="153" t="e">
        <f t="shared" ca="1" si="683"/>
        <v>#VALUE!</v>
      </c>
      <c r="S260" s="119">
        <f t="shared" si="852"/>
        <v>163.99999999999997</v>
      </c>
      <c r="T260" s="115" t="e">
        <f>VLOOKUP(TRIM($F260),Reference!B:C,2,0)</f>
        <v>#VALUE!</v>
      </c>
      <c r="U260" s="170">
        <f t="shared" ca="1" si="853"/>
        <v>0</v>
      </c>
      <c r="V260" s="120" t="str">
        <f t="shared" si="670"/>
        <v>LT22JULFUT</v>
      </c>
      <c r="W260" s="158" t="e">
        <f>VLOOKUP($V260,Reference!BA:BD,4,0)</f>
        <v>#N/A</v>
      </c>
      <c r="X260" s="160">
        <f t="shared" ca="1" si="671"/>
        <v>0</v>
      </c>
      <c r="Y260" s="160">
        <f t="shared" ca="1" si="672"/>
        <v>0</v>
      </c>
      <c r="Z260" s="160">
        <f t="shared" ca="1" si="686"/>
        <v>0</v>
      </c>
      <c r="AA260" s="160">
        <f t="shared" ca="1" si="673"/>
        <v>0</v>
      </c>
      <c r="AB260" s="160">
        <f t="shared" ca="1" si="674"/>
        <v>0</v>
      </c>
      <c r="AC260" s="119">
        <f t="shared" ca="1" si="675"/>
        <v>0</v>
      </c>
      <c r="AD260" s="115">
        <f t="shared" ca="1" si="854"/>
        <v>-1.1342465753424658</v>
      </c>
      <c r="AE260" s="115">
        <f t="shared" si="855"/>
        <v>20</v>
      </c>
      <c r="AF260" s="115"/>
      <c r="AG260" s="115"/>
      <c r="AH260" s="115">
        <f t="shared" si="755"/>
        <v>0</v>
      </c>
      <c r="AI260" s="115"/>
      <c r="AJ260" s="115">
        <f t="shared" si="756"/>
        <v>14.76</v>
      </c>
      <c r="AK260" s="115"/>
      <c r="AL260" s="142"/>
      <c r="AM260" s="153"/>
      <c r="AN260" s="153"/>
      <c r="AO260" s="153"/>
      <c r="AP260" s="153"/>
      <c r="AQ260" s="153"/>
      <c r="AR260" s="153"/>
      <c r="AS260" s="153"/>
      <c r="AT260" s="153"/>
      <c r="AU260" s="153"/>
      <c r="AV260" s="153"/>
      <c r="AW260" s="153"/>
      <c r="AX260" s="153"/>
      <c r="AY260" s="153"/>
      <c r="AZ260" s="153"/>
      <c r="BA260" s="153"/>
      <c r="BB260" s="153"/>
      <c r="BC260" s="153"/>
      <c r="BD260" s="153"/>
      <c r="BE260" s="153"/>
      <c r="BF260" s="153"/>
      <c r="BG260" s="153"/>
      <c r="BS260" s="13">
        <v>2</v>
      </c>
      <c r="BT260" s="123">
        <v>44491</v>
      </c>
      <c r="BU260" s="116" t="s">
        <v>8</v>
      </c>
      <c r="BV260" s="115" t="s">
        <v>482</v>
      </c>
      <c r="BW260" s="116" t="s">
        <v>502</v>
      </c>
      <c r="BX260" s="115">
        <v>18400</v>
      </c>
      <c r="BY260" s="115">
        <v>41.7</v>
      </c>
      <c r="BZ260" s="115">
        <v>47.945</v>
      </c>
      <c r="CA260" s="119">
        <v>-3216.6708800000001</v>
      </c>
      <c r="CB260" s="115">
        <v>1.1497601918465228</v>
      </c>
      <c r="CC260" s="115">
        <v>500</v>
      </c>
      <c r="CD260" s="115">
        <v>50</v>
      </c>
      <c r="CE260" s="119">
        <v>20850</v>
      </c>
    </row>
    <row r="261" spans="1:83" hidden="1">
      <c r="A261" s="13">
        <f t="shared" si="753"/>
        <v>254</v>
      </c>
      <c r="B261" s="123">
        <v>44704</v>
      </c>
      <c r="C261" s="116" t="s">
        <v>6</v>
      </c>
      <c r="D261" s="116">
        <v>1</v>
      </c>
      <c r="E261" s="115" t="s">
        <v>632</v>
      </c>
      <c r="F261" s="116" t="s">
        <v>399</v>
      </c>
      <c r="G261" s="115"/>
      <c r="H261" s="117">
        <v>44770</v>
      </c>
      <c r="I261" s="115">
        <v>300</v>
      </c>
      <c r="J261" s="115">
        <v>1640</v>
      </c>
      <c r="K261" s="115">
        <v>1655.6</v>
      </c>
      <c r="L261" s="119">
        <f t="shared" ca="1" si="847"/>
        <v>0</v>
      </c>
      <c r="M261" s="119">
        <f t="shared" si="848"/>
        <v>4679.9999999999727</v>
      </c>
      <c r="N261" s="115">
        <f t="shared" si="849"/>
        <v>1.0095121951219512</v>
      </c>
      <c r="O261" s="156">
        <f t="shared" si="850"/>
        <v>1230</v>
      </c>
      <c r="P261" s="160">
        <f t="shared" si="754"/>
        <v>492000</v>
      </c>
      <c r="Q261" s="160" t="e">
        <f t="shared" si="851"/>
        <v>#N/A</v>
      </c>
      <c r="R261" s="153" t="e">
        <f t="shared" ca="1" si="683"/>
        <v>#VALUE!</v>
      </c>
      <c r="S261" s="119">
        <f t="shared" si="852"/>
        <v>163.99999999999997</v>
      </c>
      <c r="T261" s="115" t="e">
        <f>VLOOKUP(TRIM($F261),Reference!B:C,2,0)</f>
        <v>#VALUE!</v>
      </c>
      <c r="U261" s="170">
        <f t="shared" ca="1" si="853"/>
        <v>0</v>
      </c>
      <c r="V261" s="120" t="str">
        <f t="shared" si="670"/>
        <v>LT22JULFUT</v>
      </c>
      <c r="W261" s="158" t="e">
        <f>VLOOKUP($V261,Reference!BA:BD,4,0)</f>
        <v>#N/A</v>
      </c>
      <c r="X261" s="160">
        <f t="shared" ca="1" si="671"/>
        <v>0</v>
      </c>
      <c r="Y261" s="160">
        <f t="shared" ca="1" si="672"/>
        <v>0</v>
      </c>
      <c r="Z261" s="160">
        <f t="shared" ca="1" si="686"/>
        <v>0</v>
      </c>
      <c r="AA261" s="160">
        <f t="shared" ca="1" si="673"/>
        <v>0</v>
      </c>
      <c r="AB261" s="160">
        <f t="shared" ca="1" si="674"/>
        <v>0</v>
      </c>
      <c r="AC261" s="119">
        <f t="shared" ca="1" si="675"/>
        <v>0</v>
      </c>
      <c r="AD261" s="115">
        <f t="shared" ca="1" si="854"/>
        <v>-1.1342465753424658</v>
      </c>
      <c r="AE261" s="115">
        <f t="shared" si="855"/>
        <v>20</v>
      </c>
      <c r="AF261" s="115"/>
      <c r="AG261" s="115"/>
      <c r="AH261" s="115">
        <f t="shared" si="755"/>
        <v>0</v>
      </c>
      <c r="AI261" s="115"/>
      <c r="AJ261" s="115">
        <f t="shared" si="756"/>
        <v>14.76</v>
      </c>
      <c r="AK261" s="115"/>
      <c r="AL261" s="142"/>
      <c r="AM261" s="153"/>
      <c r="AN261" s="153"/>
      <c r="AO261" s="153"/>
      <c r="AP261" s="153"/>
      <c r="AQ261" s="153"/>
      <c r="AR261" s="153"/>
      <c r="AS261" s="153"/>
      <c r="AT261" s="153"/>
      <c r="AU261" s="153"/>
      <c r="AV261" s="153"/>
      <c r="AW261" s="153"/>
      <c r="AX261" s="153"/>
      <c r="AY261" s="153"/>
      <c r="AZ261" s="153"/>
      <c r="BA261" s="153"/>
      <c r="BB261" s="153"/>
      <c r="BC261" s="153"/>
      <c r="BD261" s="153"/>
      <c r="BE261" s="153"/>
      <c r="BF261" s="153"/>
      <c r="BG261" s="153"/>
      <c r="BS261" s="13">
        <v>2</v>
      </c>
      <c r="BT261" s="123">
        <v>44491</v>
      </c>
      <c r="BU261" s="116" t="s">
        <v>8</v>
      </c>
      <c r="BV261" s="115" t="s">
        <v>482</v>
      </c>
      <c r="BW261" s="116" t="s">
        <v>502</v>
      </c>
      <c r="BX261" s="115">
        <v>18400</v>
      </c>
      <c r="BY261" s="115">
        <v>41.7</v>
      </c>
      <c r="BZ261" s="115">
        <v>47.945</v>
      </c>
      <c r="CA261" s="119">
        <v>-3216.6708800000001</v>
      </c>
      <c r="CB261" s="115">
        <v>1.1497601918465228</v>
      </c>
      <c r="CC261" s="115">
        <v>500</v>
      </c>
      <c r="CD261" s="115">
        <v>50</v>
      </c>
      <c r="CE261" s="119">
        <v>20850</v>
      </c>
    </row>
    <row r="262" spans="1:83" hidden="1">
      <c r="A262" s="13">
        <f t="shared" si="753"/>
        <v>255</v>
      </c>
      <c r="B262" s="123">
        <v>44705</v>
      </c>
      <c r="C262" s="116" t="s">
        <v>8</v>
      </c>
      <c r="D262" s="116">
        <v>1</v>
      </c>
      <c r="E262" s="115" t="s">
        <v>481</v>
      </c>
      <c r="F262" s="116" t="s">
        <v>506</v>
      </c>
      <c r="G262" s="115">
        <v>37000</v>
      </c>
      <c r="H262" s="117">
        <v>44742</v>
      </c>
      <c r="I262" s="115">
        <v>25</v>
      </c>
      <c r="J262" s="115">
        <v>241.45</v>
      </c>
      <c r="K262" s="115">
        <v>3.1</v>
      </c>
      <c r="L262" s="119">
        <f t="shared" ca="1" si="847"/>
        <v>0</v>
      </c>
      <c r="M262" s="119">
        <f t="shared" si="848"/>
        <v>5958.75</v>
      </c>
      <c r="N262" s="115">
        <f t="shared" si="849"/>
        <v>1.283909712155726E-2</v>
      </c>
      <c r="O262" s="156">
        <f t="shared" si="850"/>
        <v>301.8125</v>
      </c>
      <c r="P262" s="160">
        <f t="shared" si="754"/>
        <v>6036.25</v>
      </c>
      <c r="Q262" s="160" t="e">
        <f t="shared" si="851"/>
        <v>#N/A</v>
      </c>
      <c r="R262" s="153" t="e">
        <f t="shared" ca="1" si="683"/>
        <v>#VALUE!</v>
      </c>
      <c r="S262" s="119">
        <f t="shared" si="852"/>
        <v>24.144999999999992</v>
      </c>
      <c r="T262" s="115" t="str">
        <f>VLOOKUP(TRIM($F262),Reference!B:C,2,0)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62" s="170">
        <f t="shared" ca="1" si="853"/>
        <v>0</v>
      </c>
      <c r="V262" s="120" t="str">
        <f t="shared" si="670"/>
        <v>BANKNIFTY22JUN37000CE</v>
      </c>
      <c r="W262" s="158" t="e">
        <f>VLOOKUP($V262,Reference!BA:BD,4,0)</f>
        <v>#N/A</v>
      </c>
      <c r="X262" s="160">
        <f t="shared" ca="1" si="671"/>
        <v>0</v>
      </c>
      <c r="Y262" s="160">
        <f t="shared" ca="1" si="672"/>
        <v>0</v>
      </c>
      <c r="Z262" s="160">
        <f t="shared" ca="1" si="686"/>
        <v>0</v>
      </c>
      <c r="AA262" s="160">
        <f t="shared" ca="1" si="673"/>
        <v>0</v>
      </c>
      <c r="AB262" s="160">
        <f t="shared" ca="1" si="674"/>
        <v>0</v>
      </c>
      <c r="AC262" s="119">
        <f t="shared" ca="1" si="675"/>
        <v>0</v>
      </c>
      <c r="AD262" s="115">
        <f t="shared" ca="1" si="854"/>
        <v>-1.210958904109589</v>
      </c>
      <c r="AE262" s="115">
        <f t="shared" si="855"/>
        <v>20</v>
      </c>
      <c r="AF262" s="115"/>
      <c r="AG262" s="115"/>
      <c r="AH262" s="115">
        <f t="shared" si="755"/>
        <v>3.0181249999999999</v>
      </c>
      <c r="AI262" s="115"/>
      <c r="AJ262" s="115">
        <f t="shared" si="756"/>
        <v>0</v>
      </c>
      <c r="AK262" s="115"/>
      <c r="AL262" s="142"/>
      <c r="AM262" s="153"/>
      <c r="AN262" s="153"/>
      <c r="AO262" s="153"/>
      <c r="AP262" s="153"/>
      <c r="AQ262" s="153"/>
      <c r="AR262" s="153"/>
      <c r="AS262" s="153"/>
      <c r="AT262" s="153"/>
      <c r="AU262" s="153"/>
      <c r="AV262" s="153"/>
      <c r="AW262" s="153"/>
      <c r="AX262" s="153"/>
      <c r="AY262" s="153"/>
      <c r="AZ262" s="153"/>
      <c r="BA262" s="153"/>
      <c r="BB262" s="153"/>
      <c r="BC262" s="153"/>
      <c r="BD262" s="153"/>
      <c r="BE262" s="153"/>
      <c r="BF262" s="153"/>
      <c r="BG262" s="153"/>
      <c r="BS262" s="13">
        <v>2</v>
      </c>
      <c r="BT262" s="123">
        <v>44491</v>
      </c>
      <c r="BU262" s="116" t="s">
        <v>8</v>
      </c>
      <c r="BV262" s="115" t="s">
        <v>482</v>
      </c>
      <c r="BW262" s="116" t="s">
        <v>502</v>
      </c>
      <c r="BX262" s="115">
        <v>18400</v>
      </c>
      <c r="BY262" s="115">
        <v>41.7</v>
      </c>
      <c r="BZ262" s="115">
        <v>47.945</v>
      </c>
      <c r="CA262" s="119">
        <v>-3216.6708800000001</v>
      </c>
      <c r="CB262" s="115">
        <v>1.1497601918465228</v>
      </c>
      <c r="CC262" s="115">
        <v>500</v>
      </c>
      <c r="CD262" s="115">
        <v>50</v>
      </c>
      <c r="CE262" s="119">
        <v>20850</v>
      </c>
    </row>
    <row r="263" spans="1:83" hidden="1">
      <c r="A263" s="13">
        <f t="shared" si="753"/>
        <v>256</v>
      </c>
      <c r="B263" s="123">
        <v>44705</v>
      </c>
      <c r="C263" s="116" t="s">
        <v>8</v>
      </c>
      <c r="D263" s="116">
        <v>1</v>
      </c>
      <c r="E263" s="115" t="s">
        <v>481</v>
      </c>
      <c r="F263" s="116" t="s">
        <v>506</v>
      </c>
      <c r="G263" s="115">
        <v>37000</v>
      </c>
      <c r="H263" s="117">
        <v>44742</v>
      </c>
      <c r="I263" s="115">
        <v>25</v>
      </c>
      <c r="J263" s="115">
        <v>216.05</v>
      </c>
      <c r="K263" s="115">
        <v>3.1</v>
      </c>
      <c r="L263" s="119">
        <f t="shared" ref="L263:L264" ca="1" si="856">IF(AND(K263&lt;&gt;0,I263&lt;&gt;0),(IF(C263="B",1,-1))*(K263-J263)*I263-AK263*2,0)*$D263*IF(MONTH($B$2)=MONTH($H263),1,0)</f>
        <v>0</v>
      </c>
      <c r="M263" s="119">
        <f t="shared" ref="M263:M264" si="857">IF(AND(K263&lt;&gt;0,I263&lt;&gt;0),(IF(C263="B",1,-1))*(K263-J263)*I263-AK263*2,0)*$D263</f>
        <v>5323.75</v>
      </c>
      <c r="N263" s="115">
        <f t="shared" ref="N263:N264" si="858">K263/$J263</f>
        <v>1.4348530432770191E-2</v>
      </c>
      <c r="O263" s="156">
        <f t="shared" ref="O263:O264" si="859">J263*(1+$O$6*IF(C263="B",-1,1))</f>
        <v>270.0625</v>
      </c>
      <c r="P263" s="160">
        <f t="shared" si="754"/>
        <v>5401.25</v>
      </c>
      <c r="Q263" s="160" t="e">
        <f t="shared" ref="Q263:Q264" si="860">(W263-J263)*I263*IF(C263="B",1,-1)*IF(K263=0,1,0)</f>
        <v>#N/A</v>
      </c>
      <c r="R263" s="153" t="e">
        <f t="shared" ca="1" si="683"/>
        <v>#VALUE!</v>
      </c>
      <c r="S263" s="119">
        <f t="shared" ref="S263:S264" si="861">(1-$S$6)*J263</f>
        <v>21.604999999999997</v>
      </c>
      <c r="T263" s="115" t="str">
        <f>VLOOKUP(TRIM($F263),Reference!B:C,2,0)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63" s="170">
        <f t="shared" ref="U263:U264" ca="1" si="862">AC263</f>
        <v>0</v>
      </c>
      <c r="V263" s="120" t="str">
        <f t="shared" si="670"/>
        <v>BANKNIFTY22JUN37000CE</v>
      </c>
      <c r="W263" s="158" t="e">
        <f>VLOOKUP($V263,Reference!BA:BD,4,0)</f>
        <v>#N/A</v>
      </c>
      <c r="X263" s="160">
        <f t="shared" ca="1" si="671"/>
        <v>0</v>
      </c>
      <c r="Y263" s="160">
        <f t="shared" ca="1" si="672"/>
        <v>0</v>
      </c>
      <c r="Z263" s="160">
        <f t="shared" ca="1" si="686"/>
        <v>0</v>
      </c>
      <c r="AA263" s="160">
        <f t="shared" ca="1" si="673"/>
        <v>0</v>
      </c>
      <c r="AB263" s="160">
        <f t="shared" ca="1" si="674"/>
        <v>0</v>
      </c>
      <c r="AC263" s="119">
        <f t="shared" ca="1" si="675"/>
        <v>0</v>
      </c>
      <c r="AD263" s="115">
        <f t="shared" ref="AD263:AD264" ca="1" si="863">(H263-TODAY())/365</f>
        <v>-1.210958904109589</v>
      </c>
      <c r="AE263" s="115">
        <f t="shared" ref="AE263:AE264" si="864">IF(I263&lt;&gt;0,20,0)</f>
        <v>20</v>
      </c>
      <c r="AF263" s="115"/>
      <c r="AG263" s="115"/>
      <c r="AH263" s="115">
        <f t="shared" si="755"/>
        <v>2.7006250000000001</v>
      </c>
      <c r="AI263" s="115"/>
      <c r="AJ263" s="115">
        <f t="shared" si="756"/>
        <v>0</v>
      </c>
      <c r="AK263" s="115"/>
      <c r="AL263" s="142"/>
      <c r="AM263" s="153"/>
      <c r="AN263" s="153"/>
      <c r="AO263" s="153"/>
      <c r="AP263" s="153"/>
      <c r="AQ263" s="153"/>
      <c r="AR263" s="153"/>
      <c r="AS263" s="153"/>
      <c r="AT263" s="153"/>
      <c r="AU263" s="153"/>
      <c r="AV263" s="153"/>
      <c r="AW263" s="153"/>
      <c r="AX263" s="153"/>
      <c r="AY263" s="153"/>
      <c r="AZ263" s="153"/>
      <c r="BA263" s="153"/>
      <c r="BB263" s="153"/>
      <c r="BC263" s="153"/>
      <c r="BD263" s="153"/>
      <c r="BE263" s="153"/>
      <c r="BF263" s="153"/>
      <c r="BG263" s="153"/>
      <c r="BS263" s="13">
        <v>2</v>
      </c>
      <c r="BT263" s="123">
        <v>44491</v>
      </c>
      <c r="BU263" s="116" t="s">
        <v>8</v>
      </c>
      <c r="BV263" s="115" t="s">
        <v>482</v>
      </c>
      <c r="BW263" s="116" t="s">
        <v>502</v>
      </c>
      <c r="BX263" s="115">
        <v>18400</v>
      </c>
      <c r="BY263" s="115">
        <v>41.7</v>
      </c>
      <c r="BZ263" s="115">
        <v>47.945</v>
      </c>
      <c r="CA263" s="119">
        <v>-3216.6708800000001</v>
      </c>
      <c r="CB263" s="115">
        <v>1.1497601918465228</v>
      </c>
      <c r="CC263" s="115">
        <v>500</v>
      </c>
      <c r="CD263" s="115">
        <v>50</v>
      </c>
      <c r="CE263" s="119">
        <v>20850</v>
      </c>
    </row>
    <row r="264" spans="1:83" hidden="1">
      <c r="A264" s="13">
        <f t="shared" si="753"/>
        <v>257</v>
      </c>
      <c r="B264" s="123">
        <v>44705</v>
      </c>
      <c r="C264" s="116" t="s">
        <v>8</v>
      </c>
      <c r="D264" s="116">
        <v>1</v>
      </c>
      <c r="E264" s="115" t="s">
        <v>481</v>
      </c>
      <c r="F264" s="116" t="s">
        <v>502</v>
      </c>
      <c r="G264" s="115">
        <v>16650</v>
      </c>
      <c r="H264" s="117">
        <v>44742</v>
      </c>
      <c r="I264" s="115">
        <v>150</v>
      </c>
      <c r="J264" s="115">
        <v>213.8</v>
      </c>
      <c r="K264" s="115">
        <v>2.5</v>
      </c>
      <c r="L264" s="119">
        <f t="shared" ca="1" si="856"/>
        <v>0</v>
      </c>
      <c r="M264" s="119">
        <f t="shared" si="857"/>
        <v>31695</v>
      </c>
      <c r="N264" s="115">
        <f t="shared" si="858"/>
        <v>1.1693171188026192E-2</v>
      </c>
      <c r="O264" s="156">
        <f t="shared" si="859"/>
        <v>267.25</v>
      </c>
      <c r="P264" s="160">
        <f t="shared" si="754"/>
        <v>32070</v>
      </c>
      <c r="Q264" s="160" t="e">
        <f t="shared" si="860"/>
        <v>#N/A</v>
      </c>
      <c r="R264" s="153" t="e">
        <f t="shared" ca="1" si="683"/>
        <v>#VALUE!</v>
      </c>
      <c r="S264" s="119">
        <f t="shared" si="861"/>
        <v>21.379999999999995</v>
      </c>
      <c r="T264" s="115" t="str">
        <f>VLOOKUP(TRIM($F264),Reference!B:C,2,0)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64" s="170">
        <f t="shared" ca="1" si="862"/>
        <v>0</v>
      </c>
      <c r="V264" s="120" t="str">
        <f t="shared" ref="V264:V327" si="865">TRIM(F264)&amp;TEXT(H264,"YY")&amp;UPPER(TEXT(H264,"MMM"))&amp;TRIM(G264)&amp;TRIM(E264)</f>
        <v>NIFTY22JUN16650CE</v>
      </c>
      <c r="W264" s="158" t="e">
        <f>VLOOKUP($V264,Reference!BA:BD,4,0)</f>
        <v>#N/A</v>
      </c>
      <c r="X264" s="160">
        <f t="shared" ref="X264:X327" ca="1" si="866">IF(OR($AD264&lt;0,$K264&lt;&gt;0),0,IF($E264="FUT",W264,OptionPrice(LEFT($E264),$T264,$G264,$AD264,RISKFREE_RATE,$U264,NIFTY_DIVYLD))*IF(C264="B",1,-1)*IF(I264=0,0,1)*IF(K264=0,1,0)*I264)</f>
        <v>0</v>
      </c>
      <c r="Y264" s="160">
        <f t="shared" ref="Y264:Y327" ca="1" si="867">IF(OR($AD264&lt;0,$K264&lt;&gt;0),0,IF($E264="FUT",1,OptionDelta(LEFT(E264),T264,G264,AD264,RISKFREE_RATE,U264,NIFTY_DIVYLD)))</f>
        <v>0</v>
      </c>
      <c r="Z264" s="160">
        <f t="shared" ca="1" si="686"/>
        <v>0</v>
      </c>
      <c r="AA264" s="160">
        <f t="shared" ref="AA264:AA327" ca="1" si="868">IF(OR($AD264&lt;0,$K264&lt;&gt;0),0,IF($E264="FUT",0,OptionTheta(LEFT(E264),T264,G264,AD264,RISKFREE_RATE,U264,NIFTY_DIVYLD))*IF(C264="B",1,-1)*IF(I264=0,0,1)*IF(K264=0,1,0)*I264)</f>
        <v>0</v>
      </c>
      <c r="AB264" s="160">
        <f t="shared" ref="AB264:AB327" ca="1" si="869">IF(OR($AD264&lt;0,$K264&lt;&gt;0),0,IF($E264="FUT",0,OptionGamma(T264,G264,AD264,RISKFREE_RATE,U264,NIFTY_DIVYLD))*IF(C264="B",1,-1)*IF(I264=0,0,1)*IF(K264=0,1,0))</f>
        <v>0</v>
      </c>
      <c r="AC264" s="119">
        <f t="shared" ref="AC264:AC327" ca="1" si="870">IF(OR($AD264&lt;0,$K264&lt;&gt;0),0,IF($E264="FUT",0,ImpliedVolatility(LEFT(E264),T264,G264,RISKFREE_RATE,AD264,NIFTY_DIVYLD,W264,$AC$6)))</f>
        <v>0</v>
      </c>
      <c r="AD264" s="115">
        <f t="shared" ca="1" si="863"/>
        <v>-1.210958904109589</v>
      </c>
      <c r="AE264" s="115">
        <f t="shared" si="864"/>
        <v>20</v>
      </c>
      <c r="AF264" s="115"/>
      <c r="AG264" s="115"/>
      <c r="AH264" s="115">
        <f t="shared" si="755"/>
        <v>16.035</v>
      </c>
      <c r="AI264" s="115"/>
      <c r="AJ264" s="115">
        <f t="shared" si="756"/>
        <v>0</v>
      </c>
      <c r="AK264" s="115"/>
      <c r="AL264" s="142"/>
      <c r="AM264" s="153"/>
      <c r="AN264" s="153"/>
      <c r="AO264" s="153"/>
      <c r="AP264" s="153"/>
      <c r="AQ264" s="153"/>
      <c r="AR264" s="153"/>
      <c r="AS264" s="153"/>
      <c r="AT264" s="153"/>
      <c r="AU264" s="153"/>
      <c r="AV264" s="153"/>
      <c r="AW264" s="153"/>
      <c r="AX264" s="153"/>
      <c r="AY264" s="153"/>
      <c r="AZ264" s="153"/>
      <c r="BA264" s="153"/>
      <c r="BB264" s="153"/>
      <c r="BC264" s="153"/>
      <c r="BD264" s="153"/>
      <c r="BE264" s="153"/>
      <c r="BF264" s="153"/>
      <c r="BG264" s="153"/>
      <c r="BS264" s="13">
        <v>2</v>
      </c>
      <c r="BT264" s="123">
        <v>44491</v>
      </c>
      <c r="BU264" s="116" t="s">
        <v>8</v>
      </c>
      <c r="BV264" s="115" t="s">
        <v>482</v>
      </c>
      <c r="BW264" s="116" t="s">
        <v>502</v>
      </c>
      <c r="BX264" s="115">
        <v>18400</v>
      </c>
      <c r="BY264" s="115">
        <v>41.7</v>
      </c>
      <c r="BZ264" s="115">
        <v>47.945</v>
      </c>
      <c r="CA264" s="119">
        <v>-3216.6708800000001</v>
      </c>
      <c r="CB264" s="115">
        <v>1.1497601918465228</v>
      </c>
      <c r="CC264" s="115">
        <v>500</v>
      </c>
      <c r="CD264" s="115">
        <v>50</v>
      </c>
      <c r="CE264" s="119">
        <v>20850</v>
      </c>
    </row>
    <row r="265" spans="1:83" hidden="1">
      <c r="A265" s="13">
        <f t="shared" si="753"/>
        <v>258</v>
      </c>
      <c r="B265" s="123">
        <v>44705</v>
      </c>
      <c r="C265" s="116" t="s">
        <v>8</v>
      </c>
      <c r="D265" s="116">
        <v>1</v>
      </c>
      <c r="E265" s="115" t="s">
        <v>482</v>
      </c>
      <c r="F265" s="116" t="s">
        <v>502</v>
      </c>
      <c r="G265" s="115">
        <v>15500</v>
      </c>
      <c r="H265" s="117">
        <v>44742</v>
      </c>
      <c r="I265" s="115">
        <v>150</v>
      </c>
      <c r="J265" s="115">
        <v>244.25</v>
      </c>
      <c r="K265" s="115">
        <v>132.5</v>
      </c>
      <c r="L265" s="119">
        <f t="shared" ref="L265:L266" ca="1" si="871">IF(AND(K265&lt;&gt;0,I265&lt;&gt;0),(IF(C265="B",1,-1))*(K265-J265)*I265-AK265*2,0)*$D265*IF(MONTH($B$2)=MONTH($H265),1,0)</f>
        <v>0</v>
      </c>
      <c r="M265" s="119">
        <f t="shared" ref="M265:M266" si="872">IF(AND(K265&lt;&gt;0,I265&lt;&gt;0),(IF(C265="B",1,-1))*(K265-J265)*I265-AK265*2,0)*$D265</f>
        <v>16762.5</v>
      </c>
      <c r="N265" s="115">
        <f t="shared" ref="N265:N266" si="873">K265/$J265</f>
        <v>0.5424769703172978</v>
      </c>
      <c r="O265" s="156">
        <f t="shared" ref="O265:O266" si="874">J265*(1+$O$6*IF(C265="B",-1,1))</f>
        <v>305.3125</v>
      </c>
      <c r="P265" s="160">
        <f t="shared" si="754"/>
        <v>36637.5</v>
      </c>
      <c r="Q265" s="160" t="e">
        <f t="shared" ref="Q265:Q266" si="875">(W265-J265)*I265*IF(C265="B",1,-1)*IF(K265=0,1,0)</f>
        <v>#N/A</v>
      </c>
      <c r="R265" s="153" t="e">
        <f t="shared" ref="R265:R328" ca="1" si="876">Z265*T265</f>
        <v>#VALUE!</v>
      </c>
      <c r="S265" s="119">
        <f t="shared" ref="S265:S266" si="877">(1-$S$6)*J265</f>
        <v>24.424999999999994</v>
      </c>
      <c r="T265" s="115" t="str">
        <f>VLOOKUP(TRIM($F265),Reference!B:C,2,0)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65" s="170">
        <f t="shared" ref="U265:U266" ca="1" si="878">AC265</f>
        <v>0</v>
      </c>
      <c r="V265" s="120" t="str">
        <f t="shared" si="865"/>
        <v>NIFTY22JUN15500PE</v>
      </c>
      <c r="W265" s="158" t="e">
        <f>VLOOKUP($V265,Reference!BA:BD,4,0)</f>
        <v>#N/A</v>
      </c>
      <c r="X265" s="160">
        <f t="shared" ca="1" si="866"/>
        <v>0</v>
      </c>
      <c r="Y265" s="160">
        <f t="shared" ca="1" si="867"/>
        <v>0</v>
      </c>
      <c r="Z265" s="160">
        <f t="shared" ref="Z265:Z328" ca="1" si="879">Y265*IF(C265="B",1,-1)*IF(I265=0,0,1)*IF(K265=0,1,0)*I265</f>
        <v>0</v>
      </c>
      <c r="AA265" s="160">
        <f t="shared" ca="1" si="868"/>
        <v>0</v>
      </c>
      <c r="AB265" s="160">
        <f t="shared" ca="1" si="869"/>
        <v>0</v>
      </c>
      <c r="AC265" s="119">
        <f t="shared" ca="1" si="870"/>
        <v>0</v>
      </c>
      <c r="AD265" s="115">
        <f t="shared" ref="AD265:AD266" ca="1" si="880">(H265-TODAY())/365</f>
        <v>-1.210958904109589</v>
      </c>
      <c r="AE265" s="115">
        <f t="shared" ref="AE265:AE266" si="881">IF(I265&lt;&gt;0,20,0)</f>
        <v>20</v>
      </c>
      <c r="AF265" s="115"/>
      <c r="AG265" s="115"/>
      <c r="AH265" s="115">
        <f t="shared" si="755"/>
        <v>18.318750000000001</v>
      </c>
      <c r="AI265" s="115"/>
      <c r="AJ265" s="115">
        <f t="shared" si="756"/>
        <v>0</v>
      </c>
      <c r="AK265" s="115"/>
      <c r="AL265" s="142"/>
      <c r="AM265" s="153"/>
      <c r="AN265" s="153"/>
      <c r="AO265" s="153"/>
      <c r="AP265" s="153"/>
      <c r="AQ265" s="153"/>
      <c r="AR265" s="153"/>
      <c r="AS265" s="153"/>
      <c r="AT265" s="153"/>
      <c r="AU265" s="153"/>
      <c r="AV265" s="153"/>
      <c r="AW265" s="153"/>
      <c r="AX265" s="153"/>
      <c r="AY265" s="153"/>
      <c r="AZ265" s="153"/>
      <c r="BA265" s="153"/>
      <c r="BB265" s="153"/>
      <c r="BC265" s="153"/>
      <c r="BD265" s="153"/>
      <c r="BE265" s="153"/>
      <c r="BF265" s="153"/>
      <c r="BG265" s="153"/>
      <c r="BS265" s="13">
        <v>2</v>
      </c>
      <c r="BT265" s="123">
        <v>44491</v>
      </c>
      <c r="BU265" s="116" t="s">
        <v>8</v>
      </c>
      <c r="BV265" s="115" t="s">
        <v>482</v>
      </c>
      <c r="BW265" s="116" t="s">
        <v>502</v>
      </c>
      <c r="BX265" s="115">
        <v>18400</v>
      </c>
      <c r="BY265" s="115">
        <v>41.7</v>
      </c>
      <c r="BZ265" s="115">
        <v>47.945</v>
      </c>
      <c r="CA265" s="119">
        <v>-3216.6708800000001</v>
      </c>
      <c r="CB265" s="115">
        <v>1.1497601918465228</v>
      </c>
      <c r="CC265" s="115">
        <v>500</v>
      </c>
      <c r="CD265" s="115">
        <v>50</v>
      </c>
      <c r="CE265" s="119">
        <v>20850</v>
      </c>
    </row>
    <row r="266" spans="1:83" hidden="1">
      <c r="A266" s="13">
        <f t="shared" si="753"/>
        <v>259</v>
      </c>
      <c r="B266" s="123">
        <v>44705</v>
      </c>
      <c r="C266" s="116" t="s">
        <v>8</v>
      </c>
      <c r="D266" s="116">
        <v>1</v>
      </c>
      <c r="E266" s="115" t="s">
        <v>481</v>
      </c>
      <c r="F266" s="116" t="s">
        <v>502</v>
      </c>
      <c r="G266" s="115">
        <v>17000</v>
      </c>
      <c r="H266" s="117">
        <v>44742</v>
      </c>
      <c r="I266" s="115">
        <v>100</v>
      </c>
      <c r="J266" s="115">
        <v>119</v>
      </c>
      <c r="K266" s="115">
        <v>1.35</v>
      </c>
      <c r="L266" s="119">
        <f t="shared" ca="1" si="871"/>
        <v>0</v>
      </c>
      <c r="M266" s="119">
        <f t="shared" si="872"/>
        <v>11765</v>
      </c>
      <c r="N266" s="115">
        <f t="shared" si="873"/>
        <v>1.1344537815126052E-2</v>
      </c>
      <c r="O266" s="156">
        <f t="shared" si="874"/>
        <v>148.75</v>
      </c>
      <c r="P266" s="160">
        <f t="shared" si="754"/>
        <v>11900</v>
      </c>
      <c r="Q266" s="160" t="e">
        <f t="shared" si="875"/>
        <v>#N/A</v>
      </c>
      <c r="R266" s="153" t="e">
        <f t="shared" ca="1" si="876"/>
        <v>#VALUE!</v>
      </c>
      <c r="S266" s="119">
        <f t="shared" si="877"/>
        <v>11.899999999999997</v>
      </c>
      <c r="T266" s="115" t="str">
        <f>VLOOKUP(TRIM($F266),Reference!B:C,2,0)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66" s="170">
        <f t="shared" ca="1" si="878"/>
        <v>0</v>
      </c>
      <c r="V266" s="120" t="str">
        <f t="shared" si="865"/>
        <v>NIFTY22JUN17000CE</v>
      </c>
      <c r="W266" s="158" t="e">
        <f>VLOOKUP($V266,Reference!BA:BD,4,0)</f>
        <v>#N/A</v>
      </c>
      <c r="X266" s="160">
        <f t="shared" ca="1" si="866"/>
        <v>0</v>
      </c>
      <c r="Y266" s="160">
        <f t="shared" ca="1" si="867"/>
        <v>0</v>
      </c>
      <c r="Z266" s="160">
        <f t="shared" ca="1" si="879"/>
        <v>0</v>
      </c>
      <c r="AA266" s="160">
        <f t="shared" ca="1" si="868"/>
        <v>0</v>
      </c>
      <c r="AB266" s="160">
        <f t="shared" ca="1" si="869"/>
        <v>0</v>
      </c>
      <c r="AC266" s="119">
        <f t="shared" ca="1" si="870"/>
        <v>0</v>
      </c>
      <c r="AD266" s="115">
        <f t="shared" ca="1" si="880"/>
        <v>-1.210958904109589</v>
      </c>
      <c r="AE266" s="115">
        <f t="shared" si="881"/>
        <v>20</v>
      </c>
      <c r="AF266" s="115"/>
      <c r="AG266" s="115"/>
      <c r="AH266" s="115">
        <f t="shared" si="755"/>
        <v>5.95</v>
      </c>
      <c r="AI266" s="115"/>
      <c r="AJ266" s="115">
        <f t="shared" si="756"/>
        <v>0</v>
      </c>
      <c r="AK266" s="115"/>
      <c r="AL266" s="142"/>
      <c r="AM266" s="153"/>
      <c r="AN266" s="153"/>
      <c r="AO266" s="153"/>
      <c r="AP266" s="153"/>
      <c r="AQ266" s="153"/>
      <c r="AR266" s="153"/>
      <c r="AS266" s="153"/>
      <c r="AT266" s="153"/>
      <c r="AU266" s="153"/>
      <c r="AV266" s="153"/>
      <c r="AW266" s="153"/>
      <c r="AX266" s="153"/>
      <c r="AY266" s="153"/>
      <c r="AZ266" s="153"/>
      <c r="BA266" s="153"/>
      <c r="BB266" s="153"/>
      <c r="BC266" s="153"/>
      <c r="BD266" s="153"/>
      <c r="BE266" s="153"/>
      <c r="BF266" s="153"/>
      <c r="BG266" s="153"/>
      <c r="BS266" s="13">
        <v>2</v>
      </c>
      <c r="BT266" s="123">
        <v>44491</v>
      </c>
      <c r="BU266" s="116" t="s">
        <v>8</v>
      </c>
      <c r="BV266" s="115" t="s">
        <v>482</v>
      </c>
      <c r="BW266" s="116" t="s">
        <v>502</v>
      </c>
      <c r="BX266" s="115">
        <v>18400</v>
      </c>
      <c r="BY266" s="115">
        <v>41.7</v>
      </c>
      <c r="BZ266" s="115">
        <v>47.945</v>
      </c>
      <c r="CA266" s="119">
        <v>-3216.6708800000001</v>
      </c>
      <c r="CB266" s="115">
        <v>1.1497601918465228</v>
      </c>
      <c r="CC266" s="115">
        <v>500</v>
      </c>
      <c r="CD266" s="115">
        <v>50</v>
      </c>
      <c r="CE266" s="119">
        <v>20850</v>
      </c>
    </row>
    <row r="267" spans="1:83" hidden="1">
      <c r="A267" s="13">
        <f t="shared" si="753"/>
        <v>260</v>
      </c>
      <c r="B267" s="123">
        <v>44705</v>
      </c>
      <c r="C267" s="116" t="s">
        <v>8</v>
      </c>
      <c r="D267" s="116">
        <v>1</v>
      </c>
      <c r="E267" s="115" t="s">
        <v>481</v>
      </c>
      <c r="F267" s="116" t="s">
        <v>502</v>
      </c>
      <c r="G267" s="115">
        <v>17000</v>
      </c>
      <c r="H267" s="117">
        <v>44742</v>
      </c>
      <c r="I267" s="115">
        <v>50</v>
      </c>
      <c r="J267" s="115">
        <v>123.5</v>
      </c>
      <c r="K267" s="115">
        <v>1.35</v>
      </c>
      <c r="L267" s="119">
        <f t="shared" ref="L267:L270" ca="1" si="882">IF(AND(K267&lt;&gt;0,I267&lt;&gt;0),(IF(C267="B",1,-1))*(K267-J267)*I267-AK267*2,0)*$D267*IF(MONTH($B$2)=MONTH($H267),1,0)</f>
        <v>0</v>
      </c>
      <c r="M267" s="119">
        <f t="shared" ref="M267:M270" si="883">IF(AND(K267&lt;&gt;0,I267&lt;&gt;0),(IF(C267="B",1,-1))*(K267-J267)*I267-AK267*2,0)*$D267</f>
        <v>6107.5</v>
      </c>
      <c r="N267" s="115">
        <f t="shared" ref="N267:N270" si="884">K267/$J267</f>
        <v>1.0931174089068827E-2</v>
      </c>
      <c r="O267" s="156">
        <f t="shared" ref="O267:O270" si="885">J267*(1+$O$6*IF(C267="B",-1,1))</f>
        <v>154.375</v>
      </c>
      <c r="P267" s="160">
        <f t="shared" si="754"/>
        <v>6175</v>
      </c>
      <c r="Q267" s="160" t="e">
        <f t="shared" ref="Q267:Q270" si="886">(W267-J267)*I267*IF(C267="B",1,-1)*IF(K267=0,1,0)</f>
        <v>#N/A</v>
      </c>
      <c r="R267" s="153" t="e">
        <f t="shared" ca="1" si="876"/>
        <v>#VALUE!</v>
      </c>
      <c r="S267" s="119">
        <f t="shared" ref="S267:S270" si="887">(1-$S$6)*J267</f>
        <v>12.349999999999998</v>
      </c>
      <c r="T267" s="115" t="str">
        <f>VLOOKUP(TRIM($F267),Reference!B:C,2,0)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67" s="170">
        <f t="shared" ref="U267:U270" ca="1" si="888">AC267</f>
        <v>0</v>
      </c>
      <c r="V267" s="120" t="str">
        <f t="shared" si="865"/>
        <v>NIFTY22JUN17000CE</v>
      </c>
      <c r="W267" s="158" t="e">
        <f>VLOOKUP($V267,Reference!BA:BD,4,0)</f>
        <v>#N/A</v>
      </c>
      <c r="X267" s="160">
        <f t="shared" ca="1" si="866"/>
        <v>0</v>
      </c>
      <c r="Y267" s="160">
        <f t="shared" ca="1" si="867"/>
        <v>0</v>
      </c>
      <c r="Z267" s="160">
        <f t="shared" ca="1" si="879"/>
        <v>0</v>
      </c>
      <c r="AA267" s="160">
        <f t="shared" ca="1" si="868"/>
        <v>0</v>
      </c>
      <c r="AB267" s="160">
        <f t="shared" ca="1" si="869"/>
        <v>0</v>
      </c>
      <c r="AC267" s="119">
        <f t="shared" ca="1" si="870"/>
        <v>0</v>
      </c>
      <c r="AD267" s="115">
        <f t="shared" ref="AD267:AD270" ca="1" si="889">(H267-TODAY())/365</f>
        <v>-1.210958904109589</v>
      </c>
      <c r="AE267" s="115">
        <f t="shared" ref="AE267:AE270" si="890">IF(I267&lt;&gt;0,20,0)</f>
        <v>20</v>
      </c>
      <c r="AF267" s="115"/>
      <c r="AG267" s="115"/>
      <c r="AH267" s="115">
        <f t="shared" si="755"/>
        <v>3.0874999999999999</v>
      </c>
      <c r="AI267" s="115"/>
      <c r="AJ267" s="115">
        <f t="shared" si="756"/>
        <v>0</v>
      </c>
      <c r="AK267" s="115"/>
      <c r="AL267" s="142"/>
      <c r="AM267" s="153"/>
      <c r="AN267" s="153"/>
      <c r="AO267" s="153"/>
      <c r="AP267" s="153"/>
      <c r="AQ267" s="153"/>
      <c r="AR267" s="153"/>
      <c r="AS267" s="153"/>
      <c r="AT267" s="153"/>
      <c r="AU267" s="153"/>
      <c r="AV267" s="153"/>
      <c r="AW267" s="153"/>
      <c r="AX267" s="153"/>
      <c r="AY267" s="153"/>
      <c r="AZ267" s="153"/>
      <c r="BA267" s="153"/>
      <c r="BB267" s="153"/>
      <c r="BC267" s="153"/>
      <c r="BD267" s="153"/>
      <c r="BE267" s="153"/>
      <c r="BF267" s="153"/>
      <c r="BG267" s="153"/>
      <c r="BS267" s="13">
        <v>2</v>
      </c>
      <c r="BT267" s="123">
        <v>44491</v>
      </c>
      <c r="BU267" s="116" t="s">
        <v>8</v>
      </c>
      <c r="BV267" s="115" t="s">
        <v>482</v>
      </c>
      <c r="BW267" s="116" t="s">
        <v>502</v>
      </c>
      <c r="BX267" s="115">
        <v>18400</v>
      </c>
      <c r="BY267" s="115">
        <v>41.7</v>
      </c>
      <c r="BZ267" s="115">
        <v>47.945</v>
      </c>
      <c r="CA267" s="119">
        <v>-3216.6708800000001</v>
      </c>
      <c r="CB267" s="115">
        <v>1.1497601918465228</v>
      </c>
      <c r="CC267" s="115">
        <v>500</v>
      </c>
      <c r="CD267" s="115">
        <v>50</v>
      </c>
      <c r="CE267" s="119">
        <v>20850</v>
      </c>
    </row>
    <row r="268" spans="1:83" hidden="1">
      <c r="A268" s="13">
        <f t="shared" si="753"/>
        <v>261</v>
      </c>
      <c r="B268" s="123">
        <v>44705</v>
      </c>
      <c r="C268" s="116" t="s">
        <v>6</v>
      </c>
      <c r="D268" s="116">
        <v>1</v>
      </c>
      <c r="E268" s="115" t="s">
        <v>632</v>
      </c>
      <c r="F268" s="116" t="s">
        <v>284</v>
      </c>
      <c r="G268" s="115"/>
      <c r="H268" s="117">
        <v>44770</v>
      </c>
      <c r="I268" s="115">
        <v>1425</v>
      </c>
      <c r="J268" s="115">
        <v>428</v>
      </c>
      <c r="K268" s="115">
        <v>437.6</v>
      </c>
      <c r="L268" s="119">
        <f t="shared" ca="1" si="882"/>
        <v>0</v>
      </c>
      <c r="M268" s="119">
        <f t="shared" si="883"/>
        <v>13680.000000000033</v>
      </c>
      <c r="N268" s="115">
        <f t="shared" si="884"/>
        <v>1.0224299065420561</v>
      </c>
      <c r="O268" s="156">
        <f t="shared" si="885"/>
        <v>321</v>
      </c>
      <c r="P268" s="160">
        <f t="shared" si="754"/>
        <v>609900</v>
      </c>
      <c r="Q268" s="160" t="e">
        <f t="shared" si="886"/>
        <v>#N/A</v>
      </c>
      <c r="R268" s="153" t="e">
        <f t="shared" ca="1" si="876"/>
        <v>#VALUE!</v>
      </c>
      <c r="S268" s="119">
        <f t="shared" si="887"/>
        <v>42.79999999999999</v>
      </c>
      <c r="T268" s="115" t="e">
        <f>VLOOKUP(TRIM($F268),Reference!B:C,2,0)</f>
        <v>#VALUE!</v>
      </c>
      <c r="U268" s="170">
        <f t="shared" ca="1" si="888"/>
        <v>0</v>
      </c>
      <c r="V268" s="120" t="str">
        <f t="shared" si="865"/>
        <v>TATAMOTORS22JULFUT</v>
      </c>
      <c r="W268" s="158" t="e">
        <f>VLOOKUP($V268,Reference!BA:BD,4,0)</f>
        <v>#N/A</v>
      </c>
      <c r="X268" s="160">
        <f t="shared" ca="1" si="866"/>
        <v>0</v>
      </c>
      <c r="Y268" s="160">
        <f t="shared" ca="1" si="867"/>
        <v>0</v>
      </c>
      <c r="Z268" s="160">
        <f t="shared" ca="1" si="879"/>
        <v>0</v>
      </c>
      <c r="AA268" s="160">
        <f t="shared" ca="1" si="868"/>
        <v>0</v>
      </c>
      <c r="AB268" s="160">
        <f t="shared" ca="1" si="869"/>
        <v>0</v>
      </c>
      <c r="AC268" s="119">
        <f t="shared" ca="1" si="870"/>
        <v>0</v>
      </c>
      <c r="AD268" s="115">
        <f t="shared" ca="1" si="889"/>
        <v>-1.1342465753424658</v>
      </c>
      <c r="AE268" s="115">
        <f t="shared" si="890"/>
        <v>20</v>
      </c>
      <c r="AF268" s="115"/>
      <c r="AG268" s="115"/>
      <c r="AH268" s="115">
        <f t="shared" si="755"/>
        <v>0</v>
      </c>
      <c r="AI268" s="115"/>
      <c r="AJ268" s="115">
        <f t="shared" si="756"/>
        <v>18.297000000000001</v>
      </c>
      <c r="AK268" s="115"/>
      <c r="AL268" s="142"/>
      <c r="AM268" s="153"/>
      <c r="AN268" s="153"/>
      <c r="AO268" s="153"/>
      <c r="AP268" s="153"/>
      <c r="AQ268" s="153"/>
      <c r="AR268" s="153"/>
      <c r="AS268" s="153"/>
      <c r="AT268" s="153"/>
      <c r="AU268" s="153"/>
      <c r="AV268" s="153"/>
      <c r="AW268" s="153"/>
      <c r="AX268" s="153"/>
      <c r="AY268" s="153"/>
      <c r="AZ268" s="153"/>
      <c r="BA268" s="153"/>
      <c r="BB268" s="153"/>
      <c r="BC268" s="153"/>
      <c r="BD268" s="153"/>
      <c r="BE268" s="153"/>
      <c r="BF268" s="153"/>
      <c r="BG268" s="153"/>
      <c r="BS268" s="13">
        <v>2</v>
      </c>
      <c r="BT268" s="123">
        <v>44491</v>
      </c>
      <c r="BU268" s="116" t="s">
        <v>8</v>
      </c>
      <c r="BV268" s="115" t="s">
        <v>482</v>
      </c>
      <c r="BW268" s="116" t="s">
        <v>502</v>
      </c>
      <c r="BX268" s="115">
        <v>18400</v>
      </c>
      <c r="BY268" s="115">
        <v>41.7</v>
      </c>
      <c r="BZ268" s="115">
        <v>47.945</v>
      </c>
      <c r="CA268" s="119">
        <v>-3216.6708800000001</v>
      </c>
      <c r="CB268" s="115">
        <v>1.1497601918465228</v>
      </c>
      <c r="CC268" s="115">
        <v>500</v>
      </c>
      <c r="CD268" s="115">
        <v>50</v>
      </c>
      <c r="CE268" s="119">
        <v>20850</v>
      </c>
    </row>
    <row r="269" spans="1:83" hidden="1">
      <c r="A269" s="13">
        <f t="shared" si="753"/>
        <v>262</v>
      </c>
      <c r="B269" s="123">
        <v>44705</v>
      </c>
      <c r="C269" s="116" t="s">
        <v>8</v>
      </c>
      <c r="D269" s="116">
        <v>1</v>
      </c>
      <c r="E269" s="115" t="s">
        <v>481</v>
      </c>
      <c r="F269" s="116" t="s">
        <v>132</v>
      </c>
      <c r="G269" s="115">
        <v>620</v>
      </c>
      <c r="H269" s="117">
        <v>44742</v>
      </c>
      <c r="I269" s="115">
        <v>1350</v>
      </c>
      <c r="J269" s="115">
        <v>10.4</v>
      </c>
      <c r="K269" s="115">
        <v>3.85</v>
      </c>
      <c r="L269" s="119">
        <f t="shared" ca="1" si="882"/>
        <v>0</v>
      </c>
      <c r="M269" s="119">
        <f t="shared" si="883"/>
        <v>8842.5000000000018</v>
      </c>
      <c r="N269" s="115">
        <f t="shared" si="884"/>
        <v>0.37019230769230771</v>
      </c>
      <c r="O269" s="156">
        <f t="shared" si="885"/>
        <v>13</v>
      </c>
      <c r="P269" s="160">
        <f t="shared" si="754"/>
        <v>14040</v>
      </c>
      <c r="Q269" s="160" t="e">
        <f t="shared" si="886"/>
        <v>#N/A</v>
      </c>
      <c r="R269" s="153" t="e">
        <f t="shared" ca="1" si="876"/>
        <v>#N/A</v>
      </c>
      <c r="S269" s="119">
        <f t="shared" si="887"/>
        <v>1.0399999999999998</v>
      </c>
      <c r="T269" s="115" t="e">
        <f>VLOOKUP(TRIM($F269),Reference!B:C,2,0)</f>
        <v>#N/A</v>
      </c>
      <c r="U269" s="170">
        <f t="shared" ca="1" si="888"/>
        <v>0</v>
      </c>
      <c r="V269" s="120" t="str">
        <f t="shared" si="865"/>
        <v>JSWSTEEL22JUN620CE</v>
      </c>
      <c r="W269" s="158" t="e">
        <f>VLOOKUP($V269,Reference!BA:BD,4,0)</f>
        <v>#N/A</v>
      </c>
      <c r="X269" s="160">
        <f t="shared" ca="1" si="866"/>
        <v>0</v>
      </c>
      <c r="Y269" s="160">
        <f t="shared" ca="1" si="867"/>
        <v>0</v>
      </c>
      <c r="Z269" s="160">
        <f t="shared" ca="1" si="879"/>
        <v>0</v>
      </c>
      <c r="AA269" s="160">
        <f t="shared" ca="1" si="868"/>
        <v>0</v>
      </c>
      <c r="AB269" s="160">
        <f t="shared" ca="1" si="869"/>
        <v>0</v>
      </c>
      <c r="AC269" s="119">
        <f t="shared" ca="1" si="870"/>
        <v>0</v>
      </c>
      <c r="AD269" s="115">
        <f t="shared" ca="1" si="889"/>
        <v>-1.210958904109589</v>
      </c>
      <c r="AE269" s="115">
        <f t="shared" si="890"/>
        <v>20</v>
      </c>
      <c r="AF269" s="115"/>
      <c r="AG269" s="115"/>
      <c r="AH269" s="115">
        <f t="shared" si="755"/>
        <v>7.0200000000000005</v>
      </c>
      <c r="AI269" s="115"/>
      <c r="AJ269" s="115">
        <f t="shared" si="756"/>
        <v>0</v>
      </c>
      <c r="AK269" s="115"/>
      <c r="AL269" s="142"/>
      <c r="AM269" s="153"/>
      <c r="AN269" s="153"/>
      <c r="AO269" s="153"/>
      <c r="AP269" s="153"/>
      <c r="AQ269" s="153"/>
      <c r="AR269" s="153"/>
      <c r="AS269" s="153"/>
      <c r="AT269" s="153"/>
      <c r="AU269" s="153"/>
      <c r="AV269" s="153"/>
      <c r="AW269" s="153"/>
      <c r="AX269" s="153"/>
      <c r="AY269" s="153"/>
      <c r="AZ269" s="153"/>
      <c r="BA269" s="153"/>
      <c r="BB269" s="153"/>
      <c r="BC269" s="153"/>
      <c r="BD269" s="153"/>
      <c r="BE269" s="153"/>
      <c r="BF269" s="153"/>
      <c r="BG269" s="153"/>
      <c r="BS269" s="13">
        <v>2</v>
      </c>
      <c r="BT269" s="123">
        <v>44491</v>
      </c>
      <c r="BU269" s="116" t="s">
        <v>8</v>
      </c>
      <c r="BV269" s="115" t="s">
        <v>482</v>
      </c>
      <c r="BW269" s="116" t="s">
        <v>502</v>
      </c>
      <c r="BX269" s="115">
        <v>18400</v>
      </c>
      <c r="BY269" s="115">
        <v>41.7</v>
      </c>
      <c r="BZ269" s="115">
        <v>47.945</v>
      </c>
      <c r="CA269" s="119">
        <v>-3216.6708800000001</v>
      </c>
      <c r="CB269" s="115">
        <v>1.1497601918465228</v>
      </c>
      <c r="CC269" s="115">
        <v>500</v>
      </c>
      <c r="CD269" s="115">
        <v>50</v>
      </c>
      <c r="CE269" s="119">
        <v>20850</v>
      </c>
    </row>
    <row r="270" spans="1:83" hidden="1">
      <c r="A270" s="13">
        <f t="shared" si="753"/>
        <v>263</v>
      </c>
      <c r="B270" s="123">
        <v>44705</v>
      </c>
      <c r="C270" s="116" t="s">
        <v>8</v>
      </c>
      <c r="D270" s="116">
        <v>1</v>
      </c>
      <c r="E270" s="115" t="s">
        <v>482</v>
      </c>
      <c r="F270" s="116" t="s">
        <v>132</v>
      </c>
      <c r="G270" s="115">
        <v>450</v>
      </c>
      <c r="H270" s="117">
        <v>44742</v>
      </c>
      <c r="I270" s="115">
        <v>1350</v>
      </c>
      <c r="J270" s="115">
        <v>8.15</v>
      </c>
      <c r="K270" s="115">
        <v>0.85</v>
      </c>
      <c r="L270" s="119">
        <f t="shared" ca="1" si="882"/>
        <v>0</v>
      </c>
      <c r="M270" s="119">
        <f t="shared" si="883"/>
        <v>9855.0000000000018</v>
      </c>
      <c r="N270" s="115">
        <f t="shared" si="884"/>
        <v>0.10429447852760736</v>
      </c>
      <c r="O270" s="156">
        <f t="shared" si="885"/>
        <v>10.1875</v>
      </c>
      <c r="P270" s="160">
        <f t="shared" si="754"/>
        <v>11002.5</v>
      </c>
      <c r="Q270" s="160" t="e">
        <f t="shared" si="886"/>
        <v>#N/A</v>
      </c>
      <c r="R270" s="153" t="e">
        <f t="shared" ca="1" si="876"/>
        <v>#N/A</v>
      </c>
      <c r="S270" s="119">
        <f t="shared" si="887"/>
        <v>0.81499999999999984</v>
      </c>
      <c r="T270" s="115" t="e">
        <f>VLOOKUP(TRIM($F270),Reference!B:C,2,0)</f>
        <v>#N/A</v>
      </c>
      <c r="U270" s="170">
        <f t="shared" ca="1" si="888"/>
        <v>0</v>
      </c>
      <c r="V270" s="120" t="str">
        <f t="shared" si="865"/>
        <v>JSWSTEEL22JUN450PE</v>
      </c>
      <c r="W270" s="158" t="e">
        <f>VLOOKUP($V270,Reference!BA:BD,4,0)</f>
        <v>#N/A</v>
      </c>
      <c r="X270" s="160">
        <f t="shared" ca="1" si="866"/>
        <v>0</v>
      </c>
      <c r="Y270" s="160">
        <f t="shared" ca="1" si="867"/>
        <v>0</v>
      </c>
      <c r="Z270" s="160">
        <f t="shared" ca="1" si="879"/>
        <v>0</v>
      </c>
      <c r="AA270" s="160">
        <f t="shared" ca="1" si="868"/>
        <v>0</v>
      </c>
      <c r="AB270" s="160">
        <f t="shared" ca="1" si="869"/>
        <v>0</v>
      </c>
      <c r="AC270" s="119">
        <f t="shared" ca="1" si="870"/>
        <v>0</v>
      </c>
      <c r="AD270" s="115">
        <f t="shared" ca="1" si="889"/>
        <v>-1.210958904109589</v>
      </c>
      <c r="AE270" s="115">
        <f t="shared" si="890"/>
        <v>20</v>
      </c>
      <c r="AF270" s="115"/>
      <c r="AG270" s="115"/>
      <c r="AH270" s="115">
        <f t="shared" si="755"/>
        <v>5.5012499999999998</v>
      </c>
      <c r="AI270" s="115"/>
      <c r="AJ270" s="115">
        <f t="shared" si="756"/>
        <v>0</v>
      </c>
      <c r="AK270" s="115"/>
      <c r="AL270" s="142"/>
      <c r="AM270" s="153"/>
      <c r="AN270" s="153"/>
      <c r="AO270" s="153"/>
      <c r="AP270" s="153"/>
      <c r="AQ270" s="153"/>
      <c r="AR270" s="153"/>
      <c r="AS270" s="153"/>
      <c r="AT270" s="153"/>
      <c r="AU270" s="153"/>
      <c r="AV270" s="153"/>
      <c r="AW270" s="153"/>
      <c r="AX270" s="153"/>
      <c r="AY270" s="153"/>
      <c r="AZ270" s="153"/>
      <c r="BA270" s="153"/>
      <c r="BB270" s="153"/>
      <c r="BC270" s="153"/>
      <c r="BD270" s="153"/>
      <c r="BE270" s="153"/>
      <c r="BF270" s="153"/>
      <c r="BG270" s="153"/>
      <c r="BS270" s="13">
        <v>2</v>
      </c>
      <c r="BT270" s="123">
        <v>44491</v>
      </c>
      <c r="BU270" s="116" t="s">
        <v>8</v>
      </c>
      <c r="BV270" s="115" t="s">
        <v>482</v>
      </c>
      <c r="BW270" s="116" t="s">
        <v>502</v>
      </c>
      <c r="BX270" s="115">
        <v>18400</v>
      </c>
      <c r="BY270" s="115">
        <v>41.7</v>
      </c>
      <c r="BZ270" s="115">
        <v>47.945</v>
      </c>
      <c r="CA270" s="119">
        <v>-3216.6708800000001</v>
      </c>
      <c r="CB270" s="115">
        <v>1.1497601918465228</v>
      </c>
      <c r="CC270" s="115">
        <v>500</v>
      </c>
      <c r="CD270" s="115">
        <v>50</v>
      </c>
      <c r="CE270" s="119">
        <v>20850</v>
      </c>
    </row>
    <row r="271" spans="1:83" hidden="1">
      <c r="A271" s="13">
        <f t="shared" si="753"/>
        <v>264</v>
      </c>
      <c r="B271" s="123">
        <v>44706</v>
      </c>
      <c r="C271" s="116" t="s">
        <v>8</v>
      </c>
      <c r="D271" s="116">
        <v>1</v>
      </c>
      <c r="E271" s="115" t="s">
        <v>482</v>
      </c>
      <c r="F271" s="116" t="s">
        <v>381</v>
      </c>
      <c r="G271" s="115">
        <v>3200</v>
      </c>
      <c r="H271" s="117">
        <v>44742</v>
      </c>
      <c r="I271" s="115">
        <v>200</v>
      </c>
      <c r="J271" s="115">
        <v>447.45</v>
      </c>
      <c r="K271" s="115">
        <v>251</v>
      </c>
      <c r="L271" s="119">
        <f t="shared" ref="L271" ca="1" si="891">IF(AND(K271&lt;&gt;0,I271&lt;&gt;0),(IF(C271="B",1,-1))*(K271-J271)*I271-AK271*2,0)*$D271*IF(MONTH($B$2)=MONTH($H271),1,0)</f>
        <v>0</v>
      </c>
      <c r="M271" s="119">
        <f t="shared" ref="M271" si="892">IF(AND(K271&lt;&gt;0,I271&lt;&gt;0),(IF(C271="B",1,-1))*(K271-J271)*I271-AK271*2,0)*$D271</f>
        <v>39290</v>
      </c>
      <c r="N271" s="115">
        <f t="shared" ref="N271" si="893">K271/$J271</f>
        <v>0.56095653145602864</v>
      </c>
      <c r="O271" s="156">
        <f t="shared" ref="O271" si="894">J271*(1+$O$6*IF(C271="B",-1,1))</f>
        <v>559.3125</v>
      </c>
      <c r="P271" s="160">
        <f t="shared" si="754"/>
        <v>89490</v>
      </c>
      <c r="Q271" s="160" t="e">
        <f t="shared" ref="Q271" si="895">(W271-J271)*I271*IF(C271="B",1,-1)*IF(K271=0,1,0)</f>
        <v>#N/A</v>
      </c>
      <c r="R271" s="153" t="e">
        <f t="shared" ca="1" si="876"/>
        <v>#VALUE!</v>
      </c>
      <c r="S271" s="119">
        <f t="shared" ref="S271" si="896">(1-$S$6)*J271</f>
        <v>44.74499999999999</v>
      </c>
      <c r="T271" s="115" t="e">
        <f>VLOOKUP(TRIM($F271),Reference!B:C,2,0)</f>
        <v>#VALUE!</v>
      </c>
      <c r="U271" s="170">
        <f t="shared" ref="U271" ca="1" si="897">AC271</f>
        <v>0</v>
      </c>
      <c r="V271" s="120" t="str">
        <f t="shared" si="865"/>
        <v>MINDTREE22JUN3200PE</v>
      </c>
      <c r="W271" s="158" t="e">
        <f>VLOOKUP($V271,Reference!BA:BD,4,0)</f>
        <v>#N/A</v>
      </c>
      <c r="X271" s="160">
        <f t="shared" ca="1" si="866"/>
        <v>0</v>
      </c>
      <c r="Y271" s="160">
        <f t="shared" ca="1" si="867"/>
        <v>0</v>
      </c>
      <c r="Z271" s="160">
        <f t="shared" ca="1" si="879"/>
        <v>0</v>
      </c>
      <c r="AA271" s="160">
        <f t="shared" ca="1" si="868"/>
        <v>0</v>
      </c>
      <c r="AB271" s="160">
        <f t="shared" ca="1" si="869"/>
        <v>0</v>
      </c>
      <c r="AC271" s="119">
        <f t="shared" ca="1" si="870"/>
        <v>0</v>
      </c>
      <c r="AD271" s="115">
        <f t="shared" ref="AD271" ca="1" si="898">(H271-TODAY())/365</f>
        <v>-1.210958904109589</v>
      </c>
      <c r="AE271" s="115">
        <f t="shared" ref="AE271" si="899">IF(I271&lt;&gt;0,20,0)</f>
        <v>20</v>
      </c>
      <c r="AF271" s="115"/>
      <c r="AG271" s="115"/>
      <c r="AH271" s="115">
        <f t="shared" si="755"/>
        <v>44.744999999999997</v>
      </c>
      <c r="AI271" s="115"/>
      <c r="AJ271" s="115">
        <f t="shared" si="756"/>
        <v>0</v>
      </c>
      <c r="AK271" s="115"/>
      <c r="AL271" s="142"/>
      <c r="AM271" s="153"/>
      <c r="AN271" s="153"/>
      <c r="AO271" s="153"/>
      <c r="AP271" s="153"/>
      <c r="AQ271" s="153"/>
      <c r="AR271" s="153"/>
      <c r="AS271" s="153"/>
      <c r="AT271" s="153"/>
      <c r="AU271" s="153"/>
      <c r="AV271" s="153"/>
      <c r="AW271" s="153"/>
      <c r="AX271" s="153"/>
      <c r="AY271" s="153"/>
      <c r="AZ271" s="153"/>
      <c r="BA271" s="153"/>
      <c r="BB271" s="153"/>
      <c r="BC271" s="153"/>
      <c r="BD271" s="153"/>
      <c r="BE271" s="153"/>
      <c r="BF271" s="153"/>
      <c r="BG271" s="153"/>
      <c r="BS271" s="13">
        <v>2</v>
      </c>
      <c r="BT271" s="123">
        <v>44491</v>
      </c>
      <c r="BU271" s="116" t="s">
        <v>8</v>
      </c>
      <c r="BV271" s="115" t="s">
        <v>482</v>
      </c>
      <c r="BW271" s="116" t="s">
        <v>502</v>
      </c>
      <c r="BX271" s="115">
        <v>18400</v>
      </c>
      <c r="BY271" s="115">
        <v>41.7</v>
      </c>
      <c r="BZ271" s="115">
        <v>47.945</v>
      </c>
      <c r="CA271" s="119">
        <v>-3216.6708800000001</v>
      </c>
      <c r="CB271" s="115">
        <v>1.1497601918465228</v>
      </c>
      <c r="CC271" s="115">
        <v>500</v>
      </c>
      <c r="CD271" s="115">
        <v>50</v>
      </c>
      <c r="CE271" s="119">
        <v>20850</v>
      </c>
    </row>
    <row r="272" spans="1:83" hidden="1">
      <c r="A272" s="13">
        <f t="shared" si="753"/>
        <v>265</v>
      </c>
      <c r="B272" s="123">
        <v>44706</v>
      </c>
      <c r="C272" s="116" t="s">
        <v>6</v>
      </c>
      <c r="D272" s="116">
        <v>1</v>
      </c>
      <c r="E272" s="115" t="s">
        <v>482</v>
      </c>
      <c r="F272" s="116" t="s">
        <v>381</v>
      </c>
      <c r="G272" s="115">
        <v>2800</v>
      </c>
      <c r="H272" s="117">
        <v>44742</v>
      </c>
      <c r="I272" s="115">
        <v>200</v>
      </c>
      <c r="J272" s="115">
        <v>184.75</v>
      </c>
      <c r="K272" s="115">
        <v>4.7</v>
      </c>
      <c r="L272" s="119">
        <f t="shared" ref="L272:L273" ca="1" si="900">IF(AND(K272&lt;&gt;0,I272&lt;&gt;0),(IF(C272="B",1,-1))*(K272-J272)*I272-AK272*2,0)*$D272*IF(MONTH($B$2)=MONTH($H272),1,0)</f>
        <v>0</v>
      </c>
      <c r="M272" s="119">
        <f t="shared" ref="M272:M273" si="901">IF(AND(K272&lt;&gt;0,I272&lt;&gt;0),(IF(C272="B",1,-1))*(K272-J272)*I272-AK272*2,0)*$D272</f>
        <v>-36010</v>
      </c>
      <c r="N272" s="115">
        <f t="shared" ref="N272:N273" si="902">K272/$J272</f>
        <v>2.5439783491204331E-2</v>
      </c>
      <c r="O272" s="156">
        <f t="shared" ref="O272:O273" si="903">J272*(1+$O$6*IF(C272="B",-1,1))</f>
        <v>138.5625</v>
      </c>
      <c r="P272" s="160">
        <f t="shared" si="754"/>
        <v>36950</v>
      </c>
      <c r="Q272" s="160" t="e">
        <f t="shared" ref="Q272:Q273" si="904">(W272-J272)*I272*IF(C272="B",1,-1)*IF(K272=0,1,0)</f>
        <v>#N/A</v>
      </c>
      <c r="R272" s="153" t="e">
        <f t="shared" ca="1" si="876"/>
        <v>#VALUE!</v>
      </c>
      <c r="S272" s="119">
        <f t="shared" ref="S272:S273" si="905">(1-$S$6)*J272</f>
        <v>18.474999999999994</v>
      </c>
      <c r="T272" s="115" t="e">
        <f>VLOOKUP(TRIM($F272),Reference!B:C,2,0)</f>
        <v>#VALUE!</v>
      </c>
      <c r="U272" s="170">
        <f t="shared" ref="U272:U273" ca="1" si="906">AC272</f>
        <v>0</v>
      </c>
      <c r="V272" s="120" t="str">
        <f t="shared" si="865"/>
        <v>MINDTREE22JUN2800PE</v>
      </c>
      <c r="W272" s="158" t="e">
        <f>VLOOKUP($V272,Reference!BA:BD,4,0)</f>
        <v>#N/A</v>
      </c>
      <c r="X272" s="160">
        <f t="shared" ca="1" si="866"/>
        <v>0</v>
      </c>
      <c r="Y272" s="160">
        <f t="shared" ca="1" si="867"/>
        <v>0</v>
      </c>
      <c r="Z272" s="160">
        <f t="shared" ca="1" si="879"/>
        <v>0</v>
      </c>
      <c r="AA272" s="160">
        <f t="shared" ca="1" si="868"/>
        <v>0</v>
      </c>
      <c r="AB272" s="160">
        <f t="shared" ca="1" si="869"/>
        <v>0</v>
      </c>
      <c r="AC272" s="119">
        <f t="shared" ca="1" si="870"/>
        <v>0</v>
      </c>
      <c r="AD272" s="115">
        <f t="shared" ref="AD272:AD273" ca="1" si="907">(H272-TODAY())/365</f>
        <v>-1.210958904109589</v>
      </c>
      <c r="AE272" s="115">
        <f t="shared" ref="AE272:AE273" si="908">IF(I272&lt;&gt;0,20,0)</f>
        <v>20</v>
      </c>
      <c r="AF272" s="115"/>
      <c r="AG272" s="115"/>
      <c r="AH272" s="115">
        <f t="shared" si="755"/>
        <v>0</v>
      </c>
      <c r="AI272" s="115"/>
      <c r="AJ272" s="115">
        <f t="shared" si="756"/>
        <v>1.1085</v>
      </c>
      <c r="AK272" s="115"/>
      <c r="AL272" s="142"/>
      <c r="AM272" s="153"/>
      <c r="AN272" s="153"/>
      <c r="AO272" s="153"/>
      <c r="AP272" s="153"/>
      <c r="AQ272" s="153"/>
      <c r="AR272" s="153"/>
      <c r="AS272" s="153"/>
      <c r="AT272" s="153"/>
      <c r="AU272" s="153"/>
      <c r="AV272" s="153"/>
      <c r="AW272" s="153"/>
      <c r="AX272" s="153"/>
      <c r="AY272" s="153"/>
      <c r="AZ272" s="153"/>
      <c r="BA272" s="153"/>
      <c r="BB272" s="153"/>
      <c r="BC272" s="153"/>
      <c r="BD272" s="153"/>
      <c r="BE272" s="153"/>
      <c r="BF272" s="153"/>
      <c r="BG272" s="153"/>
      <c r="BS272" s="13">
        <v>2</v>
      </c>
      <c r="BT272" s="123">
        <v>44491</v>
      </c>
      <c r="BU272" s="116" t="s">
        <v>8</v>
      </c>
      <c r="BV272" s="115" t="s">
        <v>482</v>
      </c>
      <c r="BW272" s="116" t="s">
        <v>502</v>
      </c>
      <c r="BX272" s="115">
        <v>18400</v>
      </c>
      <c r="BY272" s="115">
        <v>41.7</v>
      </c>
      <c r="BZ272" s="115">
        <v>47.945</v>
      </c>
      <c r="CA272" s="119">
        <v>-3216.6708800000001</v>
      </c>
      <c r="CB272" s="115">
        <v>1.1497601918465228</v>
      </c>
      <c r="CC272" s="115">
        <v>500</v>
      </c>
      <c r="CD272" s="115">
        <v>50</v>
      </c>
      <c r="CE272" s="119">
        <v>20850</v>
      </c>
    </row>
    <row r="273" spans="1:83" hidden="1">
      <c r="A273" s="13">
        <f t="shared" si="753"/>
        <v>266</v>
      </c>
      <c r="B273" s="123">
        <v>44706</v>
      </c>
      <c r="C273" s="116" t="s">
        <v>8</v>
      </c>
      <c r="D273" s="116">
        <v>1</v>
      </c>
      <c r="E273" s="115" t="s">
        <v>482</v>
      </c>
      <c r="F273" s="116" t="s">
        <v>90</v>
      </c>
      <c r="G273" s="115">
        <v>3300</v>
      </c>
      <c r="H273" s="117">
        <v>44742</v>
      </c>
      <c r="I273" s="115">
        <v>150</v>
      </c>
      <c r="J273" s="115">
        <v>157.9</v>
      </c>
      <c r="K273" s="115">
        <v>175</v>
      </c>
      <c r="L273" s="119">
        <f t="shared" ca="1" si="900"/>
        <v>0</v>
      </c>
      <c r="M273" s="119">
        <f t="shared" si="901"/>
        <v>-2564.9999999999991</v>
      </c>
      <c r="N273" s="115">
        <f t="shared" si="902"/>
        <v>1.1082963901203293</v>
      </c>
      <c r="O273" s="156">
        <f t="shared" si="903"/>
        <v>197.375</v>
      </c>
      <c r="P273" s="160">
        <f t="shared" si="754"/>
        <v>23685</v>
      </c>
      <c r="Q273" s="160" t="e">
        <f t="shared" si="904"/>
        <v>#N/A</v>
      </c>
      <c r="R273" s="153" t="e">
        <f t="shared" ca="1" si="876"/>
        <v>#VALUE!</v>
      </c>
      <c r="S273" s="119">
        <f t="shared" si="905"/>
        <v>15.789999999999997</v>
      </c>
      <c r="T273" s="115" t="e">
        <f>VLOOKUP(TRIM($F273),Reference!B:C,2,0)</f>
        <v>#VALUE!</v>
      </c>
      <c r="U273" s="170">
        <f t="shared" ca="1" si="906"/>
        <v>0</v>
      </c>
      <c r="V273" s="120" t="str">
        <f t="shared" si="865"/>
        <v>TCS22JUN3300PE</v>
      </c>
      <c r="W273" s="158" t="e">
        <f>VLOOKUP($V273,Reference!BA:BD,4,0)</f>
        <v>#N/A</v>
      </c>
      <c r="X273" s="160">
        <f t="shared" ca="1" si="866"/>
        <v>0</v>
      </c>
      <c r="Y273" s="160">
        <f t="shared" ca="1" si="867"/>
        <v>0</v>
      </c>
      <c r="Z273" s="160">
        <f t="shared" ca="1" si="879"/>
        <v>0</v>
      </c>
      <c r="AA273" s="160">
        <f t="shared" ca="1" si="868"/>
        <v>0</v>
      </c>
      <c r="AB273" s="160">
        <f t="shared" ca="1" si="869"/>
        <v>0</v>
      </c>
      <c r="AC273" s="119">
        <f t="shared" ca="1" si="870"/>
        <v>0</v>
      </c>
      <c r="AD273" s="115">
        <f t="shared" ca="1" si="907"/>
        <v>-1.210958904109589</v>
      </c>
      <c r="AE273" s="115">
        <f t="shared" si="908"/>
        <v>20</v>
      </c>
      <c r="AF273" s="115"/>
      <c r="AG273" s="115"/>
      <c r="AH273" s="115">
        <f t="shared" si="755"/>
        <v>11.842499999999999</v>
      </c>
      <c r="AI273" s="115"/>
      <c r="AJ273" s="115">
        <f t="shared" si="756"/>
        <v>0</v>
      </c>
      <c r="AK273" s="115"/>
      <c r="AL273" s="142"/>
      <c r="AM273" s="153"/>
      <c r="AN273" s="153"/>
      <c r="AO273" s="153"/>
      <c r="AP273" s="153"/>
      <c r="AQ273" s="153"/>
      <c r="AR273" s="153"/>
      <c r="AS273" s="153"/>
      <c r="AT273" s="153"/>
      <c r="AU273" s="153"/>
      <c r="AV273" s="153"/>
      <c r="AW273" s="153"/>
      <c r="AX273" s="153"/>
      <c r="AY273" s="153"/>
      <c r="AZ273" s="153"/>
      <c r="BA273" s="153"/>
      <c r="BB273" s="153"/>
      <c r="BC273" s="153"/>
      <c r="BD273" s="153"/>
      <c r="BE273" s="153"/>
      <c r="BF273" s="153"/>
      <c r="BG273" s="153"/>
      <c r="BS273" s="13">
        <v>2</v>
      </c>
      <c r="BT273" s="123">
        <v>44491</v>
      </c>
      <c r="BU273" s="116" t="s">
        <v>8</v>
      </c>
      <c r="BV273" s="115" t="s">
        <v>482</v>
      </c>
      <c r="BW273" s="116" t="s">
        <v>502</v>
      </c>
      <c r="BX273" s="115">
        <v>18400</v>
      </c>
      <c r="BY273" s="115">
        <v>41.7</v>
      </c>
      <c r="BZ273" s="115">
        <v>47.945</v>
      </c>
      <c r="CA273" s="119">
        <v>-3216.6708800000001</v>
      </c>
      <c r="CB273" s="115">
        <v>1.1497601918465228</v>
      </c>
      <c r="CC273" s="115">
        <v>500</v>
      </c>
      <c r="CD273" s="115">
        <v>50</v>
      </c>
      <c r="CE273" s="119">
        <v>20850</v>
      </c>
    </row>
    <row r="274" spans="1:83" hidden="1">
      <c r="A274" s="13">
        <f t="shared" si="753"/>
        <v>267</v>
      </c>
      <c r="B274" s="123">
        <v>44706</v>
      </c>
      <c r="C274" s="116" t="s">
        <v>6</v>
      </c>
      <c r="D274" s="116">
        <v>1</v>
      </c>
      <c r="E274" s="115" t="s">
        <v>482</v>
      </c>
      <c r="F274" s="116" t="s">
        <v>90</v>
      </c>
      <c r="G274" s="115">
        <v>3150</v>
      </c>
      <c r="H274" s="117">
        <v>44742</v>
      </c>
      <c r="I274" s="115">
        <v>150</v>
      </c>
      <c r="J274" s="115">
        <v>86.75</v>
      </c>
      <c r="K274" s="115">
        <v>2.4500000000000002</v>
      </c>
      <c r="L274" s="119">
        <f t="shared" ref="L274:L275" ca="1" si="909">IF(AND(K274&lt;&gt;0,I274&lt;&gt;0),(IF(C274="B",1,-1))*(K274-J274)*I274-AK274*2,0)*$D274*IF(MONTH($B$2)=MONTH($H274),1,0)</f>
        <v>0</v>
      </c>
      <c r="M274" s="119">
        <f t="shared" ref="M274:M275" si="910">IF(AND(K274&lt;&gt;0,I274&lt;&gt;0),(IF(C274="B",1,-1))*(K274-J274)*I274-AK274*2,0)*$D274</f>
        <v>-12645</v>
      </c>
      <c r="N274" s="115">
        <f t="shared" ref="N274:N275" si="911">K274/$J274</f>
        <v>2.8242074927953893E-2</v>
      </c>
      <c r="O274" s="156">
        <f t="shared" ref="O274:O275" si="912">J274*(1+$O$6*IF(C274="B",-1,1))</f>
        <v>65.0625</v>
      </c>
      <c r="P274" s="160">
        <f t="shared" si="754"/>
        <v>13012.5</v>
      </c>
      <c r="Q274" s="160" t="e">
        <f t="shared" ref="Q274:Q275" si="913">(W274-J274)*I274*IF(C274="B",1,-1)*IF(K274=0,1,0)</f>
        <v>#N/A</v>
      </c>
      <c r="R274" s="153" t="e">
        <f t="shared" ca="1" si="876"/>
        <v>#VALUE!</v>
      </c>
      <c r="S274" s="119">
        <f t="shared" ref="S274:S275" si="914">(1-$S$6)*J274</f>
        <v>8.6749999999999989</v>
      </c>
      <c r="T274" s="115" t="e">
        <f>VLOOKUP(TRIM($F274),Reference!B:C,2,0)</f>
        <v>#VALUE!</v>
      </c>
      <c r="U274" s="170">
        <f t="shared" ref="U274:U275" ca="1" si="915">AC274</f>
        <v>0</v>
      </c>
      <c r="V274" s="120" t="str">
        <f t="shared" si="865"/>
        <v>TCS22JUN3150PE</v>
      </c>
      <c r="W274" s="158" t="e">
        <f>VLOOKUP($V274,Reference!BA:BD,4,0)</f>
        <v>#N/A</v>
      </c>
      <c r="X274" s="160">
        <f t="shared" ca="1" si="866"/>
        <v>0</v>
      </c>
      <c r="Y274" s="160">
        <f t="shared" ca="1" si="867"/>
        <v>0</v>
      </c>
      <c r="Z274" s="160">
        <f t="shared" ca="1" si="879"/>
        <v>0</v>
      </c>
      <c r="AA274" s="160">
        <f t="shared" ca="1" si="868"/>
        <v>0</v>
      </c>
      <c r="AB274" s="160">
        <f t="shared" ca="1" si="869"/>
        <v>0</v>
      </c>
      <c r="AC274" s="119">
        <f t="shared" ca="1" si="870"/>
        <v>0</v>
      </c>
      <c r="AD274" s="115">
        <f t="shared" ref="AD274:AD275" ca="1" si="916">(H274-TODAY())/365</f>
        <v>-1.210958904109589</v>
      </c>
      <c r="AE274" s="115">
        <f t="shared" ref="AE274:AE275" si="917">IF(I274&lt;&gt;0,20,0)</f>
        <v>20</v>
      </c>
      <c r="AF274" s="115"/>
      <c r="AG274" s="115"/>
      <c r="AH274" s="115">
        <f t="shared" si="755"/>
        <v>0</v>
      </c>
      <c r="AI274" s="115"/>
      <c r="AJ274" s="115">
        <f t="shared" si="756"/>
        <v>0.39037500000000003</v>
      </c>
      <c r="AK274" s="115"/>
      <c r="AL274" s="142"/>
      <c r="AM274" s="153"/>
      <c r="AN274" s="153"/>
      <c r="AO274" s="153"/>
      <c r="AP274" s="153"/>
      <c r="AQ274" s="153"/>
      <c r="AR274" s="153"/>
      <c r="AS274" s="153"/>
      <c r="AT274" s="153"/>
      <c r="AU274" s="153"/>
      <c r="AV274" s="153"/>
      <c r="AW274" s="153"/>
      <c r="AX274" s="153"/>
      <c r="AY274" s="153"/>
      <c r="AZ274" s="153"/>
      <c r="BA274" s="153"/>
      <c r="BB274" s="153"/>
      <c r="BC274" s="153"/>
      <c r="BD274" s="153"/>
      <c r="BE274" s="153"/>
      <c r="BF274" s="153"/>
      <c r="BG274" s="153"/>
      <c r="BS274" s="13">
        <v>2</v>
      </c>
      <c r="BT274" s="123">
        <v>44491</v>
      </c>
      <c r="BU274" s="116" t="s">
        <v>8</v>
      </c>
      <c r="BV274" s="115" t="s">
        <v>482</v>
      </c>
      <c r="BW274" s="116" t="s">
        <v>502</v>
      </c>
      <c r="BX274" s="115">
        <v>18400</v>
      </c>
      <c r="BY274" s="115">
        <v>41.7</v>
      </c>
      <c r="BZ274" s="115">
        <v>47.945</v>
      </c>
      <c r="CA274" s="119">
        <v>-3216.6708800000001</v>
      </c>
      <c r="CB274" s="115">
        <v>1.1497601918465228</v>
      </c>
      <c r="CC274" s="115">
        <v>500</v>
      </c>
      <c r="CD274" s="115">
        <v>50</v>
      </c>
      <c r="CE274" s="119">
        <v>20850</v>
      </c>
    </row>
    <row r="275" spans="1:83" hidden="1">
      <c r="A275" s="13">
        <f t="shared" si="753"/>
        <v>268</v>
      </c>
      <c r="B275" s="123">
        <v>44706</v>
      </c>
      <c r="C275" s="116" t="s">
        <v>8</v>
      </c>
      <c r="D275" s="116">
        <v>1</v>
      </c>
      <c r="E275" s="115" t="s">
        <v>482</v>
      </c>
      <c r="F275" s="116" t="s">
        <v>390</v>
      </c>
      <c r="G275" s="115">
        <v>2400</v>
      </c>
      <c r="H275" s="117">
        <v>44742</v>
      </c>
      <c r="I275" s="115">
        <v>375</v>
      </c>
      <c r="J275" s="115">
        <v>164</v>
      </c>
      <c r="K275" s="115">
        <v>134.9</v>
      </c>
      <c r="L275" s="119">
        <f t="shared" ca="1" si="909"/>
        <v>0</v>
      </c>
      <c r="M275" s="119">
        <f t="shared" si="910"/>
        <v>10912.499999999998</v>
      </c>
      <c r="N275" s="115">
        <f t="shared" si="911"/>
        <v>0.82256097560975616</v>
      </c>
      <c r="O275" s="156">
        <f t="shared" si="912"/>
        <v>205</v>
      </c>
      <c r="P275" s="160">
        <f t="shared" si="754"/>
        <v>61500</v>
      </c>
      <c r="Q275" s="160" t="e">
        <f t="shared" si="913"/>
        <v>#N/A</v>
      </c>
      <c r="R275" s="153" t="e">
        <f t="shared" ca="1" si="876"/>
        <v>#VALUE!</v>
      </c>
      <c r="S275" s="119">
        <f t="shared" si="914"/>
        <v>16.399999999999995</v>
      </c>
      <c r="T275" s="115" t="e">
        <f>VLOOKUP(TRIM($F275),Reference!B:C,2,0)</f>
        <v>#VALUE!</v>
      </c>
      <c r="U275" s="170">
        <f t="shared" ca="1" si="915"/>
        <v>0</v>
      </c>
      <c r="V275" s="120" t="str">
        <f t="shared" si="865"/>
        <v>SRF22JUN2400PE</v>
      </c>
      <c r="W275" s="158" t="e">
        <f>VLOOKUP($V275,Reference!BA:BD,4,0)</f>
        <v>#N/A</v>
      </c>
      <c r="X275" s="160">
        <f t="shared" ca="1" si="866"/>
        <v>0</v>
      </c>
      <c r="Y275" s="160">
        <f t="shared" ca="1" si="867"/>
        <v>0</v>
      </c>
      <c r="Z275" s="160">
        <f t="shared" ca="1" si="879"/>
        <v>0</v>
      </c>
      <c r="AA275" s="160">
        <f t="shared" ca="1" si="868"/>
        <v>0</v>
      </c>
      <c r="AB275" s="160">
        <f t="shared" ca="1" si="869"/>
        <v>0</v>
      </c>
      <c r="AC275" s="119">
        <f t="shared" ca="1" si="870"/>
        <v>0</v>
      </c>
      <c r="AD275" s="115">
        <f t="shared" ca="1" si="916"/>
        <v>-1.210958904109589</v>
      </c>
      <c r="AE275" s="115">
        <f t="shared" si="917"/>
        <v>20</v>
      </c>
      <c r="AF275" s="115"/>
      <c r="AG275" s="115"/>
      <c r="AH275" s="115">
        <f t="shared" si="755"/>
        <v>30.75</v>
      </c>
      <c r="AI275" s="115"/>
      <c r="AJ275" s="115">
        <f t="shared" si="756"/>
        <v>0</v>
      </c>
      <c r="AK275" s="115"/>
      <c r="AL275" s="142"/>
      <c r="AM275" s="153"/>
      <c r="AN275" s="153"/>
      <c r="AO275" s="153"/>
      <c r="AP275" s="153"/>
      <c r="AQ275" s="153"/>
      <c r="AR275" s="153"/>
      <c r="AS275" s="153"/>
      <c r="AT275" s="153"/>
      <c r="AU275" s="153"/>
      <c r="AV275" s="153"/>
      <c r="AW275" s="153"/>
      <c r="AX275" s="153"/>
      <c r="AY275" s="153"/>
      <c r="AZ275" s="153"/>
      <c r="BA275" s="153"/>
      <c r="BB275" s="153"/>
      <c r="BC275" s="153"/>
      <c r="BD275" s="153"/>
      <c r="BE275" s="153"/>
      <c r="BF275" s="153"/>
      <c r="BG275" s="153"/>
      <c r="BS275" s="13">
        <v>2</v>
      </c>
      <c r="BT275" s="123">
        <v>44491</v>
      </c>
      <c r="BU275" s="116" t="s">
        <v>8</v>
      </c>
      <c r="BV275" s="115" t="s">
        <v>482</v>
      </c>
      <c r="BW275" s="116" t="s">
        <v>502</v>
      </c>
      <c r="BX275" s="115">
        <v>18400</v>
      </c>
      <c r="BY275" s="115">
        <v>41.7</v>
      </c>
      <c r="BZ275" s="115">
        <v>47.945</v>
      </c>
      <c r="CA275" s="119">
        <v>-3216.6708800000001</v>
      </c>
      <c r="CB275" s="115">
        <v>1.1497601918465228</v>
      </c>
      <c r="CC275" s="115">
        <v>500</v>
      </c>
      <c r="CD275" s="115">
        <v>50</v>
      </c>
      <c r="CE275" s="119">
        <v>20850</v>
      </c>
    </row>
    <row r="276" spans="1:83" hidden="1">
      <c r="A276" s="13">
        <f t="shared" si="753"/>
        <v>269</v>
      </c>
      <c r="B276" s="123">
        <v>44706</v>
      </c>
      <c r="C276" s="116" t="s">
        <v>8</v>
      </c>
      <c r="D276" s="116">
        <v>1</v>
      </c>
      <c r="E276" s="115" t="s">
        <v>481</v>
      </c>
      <c r="F276" s="116" t="s">
        <v>390</v>
      </c>
      <c r="G276" s="115">
        <v>2500</v>
      </c>
      <c r="H276" s="117">
        <v>44742</v>
      </c>
      <c r="I276" s="115">
        <v>375</v>
      </c>
      <c r="J276" s="115">
        <v>40</v>
      </c>
      <c r="K276" s="115">
        <v>1.75</v>
      </c>
      <c r="L276" s="119">
        <f t="shared" ref="L276" ca="1" si="918">IF(AND(K276&lt;&gt;0,I276&lt;&gt;0),(IF(C276="B",1,-1))*(K276-J276)*I276-AK276*2,0)*$D276*IF(MONTH($B$2)=MONTH($H276),1,0)</f>
        <v>0</v>
      </c>
      <c r="M276" s="119">
        <f t="shared" ref="M276" si="919">IF(AND(K276&lt;&gt;0,I276&lt;&gt;0),(IF(C276="B",1,-1))*(K276-J276)*I276-AK276*2,0)*$D276</f>
        <v>14343.75</v>
      </c>
      <c r="N276" s="115">
        <f t="shared" ref="N276" si="920">K276/$J276</f>
        <v>4.3749999999999997E-2</v>
      </c>
      <c r="O276" s="156">
        <f t="shared" ref="O276" si="921">J276*(1+$O$6*IF(C276="B",-1,1))</f>
        <v>50</v>
      </c>
      <c r="P276" s="160">
        <f t="shared" si="754"/>
        <v>15000</v>
      </c>
      <c r="Q276" s="160" t="e">
        <f t="shared" ref="Q276" si="922">(W276-J276)*I276*IF(C276="B",1,-1)*IF(K276=0,1,0)</f>
        <v>#N/A</v>
      </c>
      <c r="R276" s="153" t="e">
        <f t="shared" ca="1" si="876"/>
        <v>#VALUE!</v>
      </c>
      <c r="S276" s="119">
        <f t="shared" ref="S276" si="923">(1-$S$6)*J276</f>
        <v>3.9999999999999991</v>
      </c>
      <c r="T276" s="115" t="e">
        <f>VLOOKUP(TRIM($F276),Reference!B:C,2,0)</f>
        <v>#VALUE!</v>
      </c>
      <c r="U276" s="170">
        <f t="shared" ref="U276" ca="1" si="924">AC276</f>
        <v>0</v>
      </c>
      <c r="V276" s="120" t="str">
        <f t="shared" si="865"/>
        <v>SRF22JUN2500CE</v>
      </c>
      <c r="W276" s="158" t="e">
        <f>VLOOKUP($V276,Reference!BA:BD,4,0)</f>
        <v>#N/A</v>
      </c>
      <c r="X276" s="160">
        <f t="shared" ca="1" si="866"/>
        <v>0</v>
      </c>
      <c r="Y276" s="160">
        <f t="shared" ca="1" si="867"/>
        <v>0</v>
      </c>
      <c r="Z276" s="160">
        <f t="shared" ca="1" si="879"/>
        <v>0</v>
      </c>
      <c r="AA276" s="160">
        <f t="shared" ca="1" si="868"/>
        <v>0</v>
      </c>
      <c r="AB276" s="160">
        <f t="shared" ca="1" si="869"/>
        <v>0</v>
      </c>
      <c r="AC276" s="119">
        <f t="shared" ca="1" si="870"/>
        <v>0</v>
      </c>
      <c r="AD276" s="115">
        <f t="shared" ref="AD276" ca="1" si="925">(H276-TODAY())/365</f>
        <v>-1.210958904109589</v>
      </c>
      <c r="AE276" s="115">
        <f t="shared" ref="AE276" si="926">IF(I276&lt;&gt;0,20,0)</f>
        <v>20</v>
      </c>
      <c r="AF276" s="115"/>
      <c r="AG276" s="115"/>
      <c r="AH276" s="115">
        <f t="shared" si="755"/>
        <v>7.5</v>
      </c>
      <c r="AI276" s="115"/>
      <c r="AJ276" s="115">
        <f t="shared" si="756"/>
        <v>0</v>
      </c>
      <c r="AK276" s="115"/>
      <c r="AL276" s="142"/>
      <c r="AM276" s="153"/>
      <c r="AN276" s="153"/>
      <c r="AO276" s="153"/>
      <c r="AP276" s="153"/>
      <c r="AQ276" s="153"/>
      <c r="AR276" s="153"/>
      <c r="AS276" s="153"/>
      <c r="AT276" s="153"/>
      <c r="AU276" s="153"/>
      <c r="AV276" s="153"/>
      <c r="AW276" s="153"/>
      <c r="AX276" s="153"/>
      <c r="AY276" s="153"/>
      <c r="AZ276" s="153"/>
      <c r="BA276" s="153"/>
      <c r="BB276" s="153"/>
      <c r="BC276" s="153"/>
      <c r="BD276" s="153"/>
      <c r="BE276" s="153"/>
      <c r="BF276" s="153"/>
      <c r="BG276" s="153"/>
      <c r="BS276" s="13">
        <v>2</v>
      </c>
      <c r="BT276" s="123">
        <v>44491</v>
      </c>
      <c r="BU276" s="116" t="s">
        <v>8</v>
      </c>
      <c r="BV276" s="115" t="s">
        <v>482</v>
      </c>
      <c r="BW276" s="116" t="s">
        <v>502</v>
      </c>
      <c r="BX276" s="115">
        <v>18400</v>
      </c>
      <c r="BY276" s="115">
        <v>41.7</v>
      </c>
      <c r="BZ276" s="115">
        <v>47.945</v>
      </c>
      <c r="CA276" s="119">
        <v>-3216.6708800000001</v>
      </c>
      <c r="CB276" s="115">
        <v>1.1497601918465228</v>
      </c>
      <c r="CC276" s="115">
        <v>500</v>
      </c>
      <c r="CD276" s="115">
        <v>50</v>
      </c>
      <c r="CE276" s="119">
        <v>20850</v>
      </c>
    </row>
    <row r="277" spans="1:83" hidden="1">
      <c r="A277" s="13">
        <f t="shared" si="753"/>
        <v>270</v>
      </c>
      <c r="B277" s="123">
        <v>44707</v>
      </c>
      <c r="C277" s="116" t="s">
        <v>8</v>
      </c>
      <c r="D277" s="116">
        <v>1</v>
      </c>
      <c r="E277" s="115" t="s">
        <v>481</v>
      </c>
      <c r="F277" s="116" t="s">
        <v>130</v>
      </c>
      <c r="G277" s="115">
        <v>250</v>
      </c>
      <c r="H277" s="117">
        <v>44742</v>
      </c>
      <c r="I277" s="115">
        <v>3375</v>
      </c>
      <c r="J277" s="115">
        <v>3.2</v>
      </c>
      <c r="K277" s="115">
        <v>0.1</v>
      </c>
      <c r="L277" s="119">
        <f t="shared" ref="L277" ca="1" si="927">IF(AND(K277&lt;&gt;0,I277&lt;&gt;0),(IF(C277="B",1,-1))*(K277-J277)*I277-AK277*2,0)*$D277*IF(MONTH($B$2)=MONTH($H277),1,0)</f>
        <v>0</v>
      </c>
      <c r="M277" s="119">
        <f t="shared" ref="M277" si="928">IF(AND(K277&lt;&gt;0,I277&lt;&gt;0),(IF(C277="B",1,-1))*(K277-J277)*I277-AK277*2,0)*$D277</f>
        <v>10462.5</v>
      </c>
      <c r="N277" s="115">
        <f t="shared" ref="N277" si="929">K277/$J277</f>
        <v>3.125E-2</v>
      </c>
      <c r="O277" s="156">
        <f t="shared" ref="O277" si="930">J277*(1+$O$6*IF(C277="B",-1,1))</f>
        <v>4</v>
      </c>
      <c r="P277" s="160">
        <f t="shared" si="754"/>
        <v>10800</v>
      </c>
      <c r="Q277" s="160" t="e">
        <f t="shared" ref="Q277" si="931">(W277-J277)*I277*IF(C277="B",1,-1)*IF(K277=0,1,0)</f>
        <v>#N/A</v>
      </c>
      <c r="R277" s="153" t="e">
        <f t="shared" ca="1" si="876"/>
        <v>#VALUE!</v>
      </c>
      <c r="S277" s="119">
        <f t="shared" ref="S277" si="932">(1-$S$6)*J277</f>
        <v>0.31999999999999995</v>
      </c>
      <c r="T277" s="115" t="e">
        <f>VLOOKUP(TRIM($F277),Reference!B:C,2,0)</f>
        <v>#VALUE!</v>
      </c>
      <c r="U277" s="170">
        <f t="shared" ref="U277" ca="1" si="933">AC277</f>
        <v>0</v>
      </c>
      <c r="V277" s="120" t="str">
        <f t="shared" si="865"/>
        <v>TATAPOWER22JUN250CE</v>
      </c>
      <c r="W277" s="158" t="e">
        <f>VLOOKUP($V277,Reference!BA:BD,4,0)</f>
        <v>#N/A</v>
      </c>
      <c r="X277" s="160">
        <f t="shared" ca="1" si="866"/>
        <v>0</v>
      </c>
      <c r="Y277" s="160">
        <f t="shared" ca="1" si="867"/>
        <v>0</v>
      </c>
      <c r="Z277" s="160">
        <f t="shared" ca="1" si="879"/>
        <v>0</v>
      </c>
      <c r="AA277" s="160">
        <f t="shared" ca="1" si="868"/>
        <v>0</v>
      </c>
      <c r="AB277" s="160">
        <f t="shared" ca="1" si="869"/>
        <v>0</v>
      </c>
      <c r="AC277" s="119">
        <f t="shared" ca="1" si="870"/>
        <v>0</v>
      </c>
      <c r="AD277" s="115">
        <f t="shared" ref="AD277" ca="1" si="934">(H277-TODAY())/365</f>
        <v>-1.210958904109589</v>
      </c>
      <c r="AE277" s="115">
        <f t="shared" ref="AE277" si="935">IF(I277&lt;&gt;0,20,0)</f>
        <v>20</v>
      </c>
      <c r="AF277" s="115"/>
      <c r="AG277" s="115"/>
      <c r="AH277" s="115">
        <f t="shared" si="755"/>
        <v>5.4</v>
      </c>
      <c r="AI277" s="115"/>
      <c r="AJ277" s="115">
        <f t="shared" si="756"/>
        <v>0</v>
      </c>
      <c r="AK277" s="115"/>
      <c r="AL277" s="142"/>
      <c r="AM277" s="153"/>
      <c r="AN277" s="153"/>
      <c r="AO277" s="153"/>
      <c r="AP277" s="153"/>
      <c r="AQ277" s="153"/>
      <c r="AR277" s="153"/>
      <c r="AS277" s="153"/>
      <c r="AT277" s="153"/>
      <c r="AU277" s="153"/>
      <c r="AV277" s="153"/>
      <c r="AW277" s="153"/>
      <c r="AX277" s="153"/>
      <c r="AY277" s="153"/>
      <c r="AZ277" s="153"/>
      <c r="BA277" s="153"/>
      <c r="BB277" s="153"/>
      <c r="BC277" s="153"/>
      <c r="BD277" s="153"/>
      <c r="BE277" s="153"/>
      <c r="BF277" s="153"/>
      <c r="BG277" s="153"/>
      <c r="BS277" s="13">
        <v>2</v>
      </c>
      <c r="BT277" s="123">
        <v>44491</v>
      </c>
      <c r="BU277" s="116" t="s">
        <v>8</v>
      </c>
      <c r="BV277" s="115" t="s">
        <v>482</v>
      </c>
      <c r="BW277" s="116" t="s">
        <v>502</v>
      </c>
      <c r="BX277" s="115">
        <v>18400</v>
      </c>
      <c r="BY277" s="115">
        <v>41.7</v>
      </c>
      <c r="BZ277" s="115">
        <v>47.945</v>
      </c>
      <c r="CA277" s="119">
        <v>-3216.6708800000001</v>
      </c>
      <c r="CB277" s="115">
        <v>1.1497601918465228</v>
      </c>
      <c r="CC277" s="115">
        <v>500</v>
      </c>
      <c r="CD277" s="115">
        <v>50</v>
      </c>
      <c r="CE277" s="119">
        <v>20850</v>
      </c>
    </row>
    <row r="278" spans="1:83" hidden="1">
      <c r="A278" s="13">
        <f t="shared" si="753"/>
        <v>271</v>
      </c>
      <c r="B278" s="123">
        <v>44707</v>
      </c>
      <c r="C278" s="116" t="s">
        <v>8</v>
      </c>
      <c r="D278" s="116">
        <v>1</v>
      </c>
      <c r="E278" s="115" t="s">
        <v>481</v>
      </c>
      <c r="F278" s="116" t="s">
        <v>126</v>
      </c>
      <c r="G278" s="115">
        <v>190</v>
      </c>
      <c r="H278" s="117">
        <v>44742</v>
      </c>
      <c r="I278" s="115">
        <v>3750</v>
      </c>
      <c r="J278" s="115">
        <v>5.4</v>
      </c>
      <c r="K278" s="115">
        <v>0</v>
      </c>
      <c r="L278" s="119">
        <f t="shared" ref="L278" ca="1" si="936">IF(AND(K278&lt;&gt;0,I278&lt;&gt;0),(IF(C278="B",1,-1))*(K278-J278)*I278-AK278*2,0)*$D278*IF(MONTH($B$2)=MONTH($H278),1,0)</f>
        <v>0</v>
      </c>
      <c r="M278" s="119">
        <f t="shared" ref="M278" si="937">IF(AND(K278&lt;&gt;0,I278&lt;&gt;0),(IF(C278="B",1,-1))*(K278-J278)*I278-AK278*2,0)*$D278</f>
        <v>0</v>
      </c>
      <c r="N278" s="115">
        <f t="shared" ref="N278" si="938">K278/$J278</f>
        <v>0</v>
      </c>
      <c r="O278" s="156">
        <f t="shared" ref="O278" si="939">J278*(1+$O$6*IF(C278="B",-1,1))</f>
        <v>6.75</v>
      </c>
      <c r="P278" s="160">
        <f t="shared" si="754"/>
        <v>20250</v>
      </c>
      <c r="Q278" s="160" t="e">
        <f t="shared" ref="Q278" si="940">(W278-J278)*I278*IF(C278="B",1,-1)*IF(K278=0,1,0)</f>
        <v>#N/A</v>
      </c>
      <c r="R278" s="153" t="e">
        <f t="shared" ca="1" si="876"/>
        <v>#VALUE!</v>
      </c>
      <c r="S278" s="119">
        <f t="shared" ref="S278" si="941">(1-$S$6)*J278</f>
        <v>0.53999999999999992</v>
      </c>
      <c r="T278" s="115" t="e">
        <f>VLOOKUP(TRIM($F278),Reference!B:C,2,0)</f>
        <v>#VALUE!</v>
      </c>
      <c r="U278" s="170">
        <f t="shared" ref="U278" ca="1" si="942">AC278</f>
        <v>0</v>
      </c>
      <c r="V278" s="120" t="str">
        <f t="shared" si="865"/>
        <v>IEX22JUN190CE</v>
      </c>
      <c r="W278" s="158" t="e">
        <f>VLOOKUP($V278,Reference!BA:BD,4,0)</f>
        <v>#N/A</v>
      </c>
      <c r="X278" s="160">
        <f t="shared" ca="1" si="866"/>
        <v>0</v>
      </c>
      <c r="Y278" s="160">
        <f t="shared" ca="1" si="867"/>
        <v>0</v>
      </c>
      <c r="Z278" s="160">
        <f t="shared" ca="1" si="879"/>
        <v>0</v>
      </c>
      <c r="AA278" s="160">
        <f t="shared" ca="1" si="868"/>
        <v>0</v>
      </c>
      <c r="AB278" s="160">
        <f t="shared" ca="1" si="869"/>
        <v>0</v>
      </c>
      <c r="AC278" s="119">
        <f t="shared" ca="1" si="870"/>
        <v>0</v>
      </c>
      <c r="AD278" s="115">
        <f t="shared" ref="AD278" ca="1" si="943">(H278-TODAY())/365</f>
        <v>-1.210958904109589</v>
      </c>
      <c r="AE278" s="115">
        <f t="shared" ref="AE278" si="944">IF(I278&lt;&gt;0,20,0)</f>
        <v>20</v>
      </c>
      <c r="AF278" s="115"/>
      <c r="AG278" s="115"/>
      <c r="AH278" s="115">
        <f t="shared" si="755"/>
        <v>10.125</v>
      </c>
      <c r="AI278" s="115"/>
      <c r="AJ278" s="115">
        <f t="shared" si="756"/>
        <v>0</v>
      </c>
      <c r="AK278" s="115"/>
      <c r="AL278" s="142"/>
      <c r="AM278" s="153"/>
      <c r="AN278" s="153"/>
      <c r="AO278" s="153"/>
      <c r="AP278" s="153"/>
      <c r="AQ278" s="153"/>
      <c r="AR278" s="153"/>
      <c r="AS278" s="153"/>
      <c r="AT278" s="153"/>
      <c r="AU278" s="153"/>
      <c r="AV278" s="153"/>
      <c r="AW278" s="153"/>
      <c r="AX278" s="153"/>
      <c r="AY278" s="153"/>
      <c r="AZ278" s="153"/>
      <c r="BA278" s="153"/>
      <c r="BB278" s="153"/>
      <c r="BC278" s="153"/>
      <c r="BD278" s="153"/>
      <c r="BE278" s="153"/>
      <c r="BF278" s="153"/>
      <c r="BG278" s="153"/>
      <c r="BS278" s="13">
        <v>2</v>
      </c>
      <c r="BT278" s="123">
        <v>44491</v>
      </c>
      <c r="BU278" s="116" t="s">
        <v>8</v>
      </c>
      <c r="BV278" s="115" t="s">
        <v>482</v>
      </c>
      <c r="BW278" s="116" t="s">
        <v>502</v>
      </c>
      <c r="BX278" s="115">
        <v>18400</v>
      </c>
      <c r="BY278" s="115">
        <v>41.7</v>
      </c>
      <c r="BZ278" s="115">
        <v>47.945</v>
      </c>
      <c r="CA278" s="119">
        <v>-3216.6708800000001</v>
      </c>
      <c r="CB278" s="115">
        <v>1.1497601918465228</v>
      </c>
      <c r="CC278" s="115">
        <v>500</v>
      </c>
      <c r="CD278" s="115">
        <v>50</v>
      </c>
      <c r="CE278" s="119">
        <v>20850</v>
      </c>
    </row>
    <row r="279" spans="1:83" hidden="1">
      <c r="A279" s="13">
        <f t="shared" si="753"/>
        <v>272</v>
      </c>
      <c r="B279" s="123">
        <v>44707</v>
      </c>
      <c r="C279" s="116" t="s">
        <v>6</v>
      </c>
      <c r="D279" s="116">
        <v>1</v>
      </c>
      <c r="E279" s="115" t="s">
        <v>482</v>
      </c>
      <c r="F279" s="116" t="s">
        <v>126</v>
      </c>
      <c r="G279" s="115">
        <v>170</v>
      </c>
      <c r="H279" s="117">
        <v>44742</v>
      </c>
      <c r="I279" s="115">
        <v>3750</v>
      </c>
      <c r="J279" s="115">
        <v>5.8</v>
      </c>
      <c r="K279" s="115">
        <v>1.1000000000000001</v>
      </c>
      <c r="L279" s="119">
        <f t="shared" ref="L279:L280" ca="1" si="945">IF(AND(K279&lt;&gt;0,I279&lt;&gt;0),(IF(C279="B",1,-1))*(K279-J279)*I279-AK279*2,0)*$D279*IF(MONTH($B$2)=MONTH($H279),1,0)</f>
        <v>0</v>
      </c>
      <c r="M279" s="119">
        <f t="shared" ref="M279:M280" si="946">IF(AND(K279&lt;&gt;0,I279&lt;&gt;0),(IF(C279="B",1,-1))*(K279-J279)*I279-AK279*2,0)*$D279</f>
        <v>-17624.999999999996</v>
      </c>
      <c r="N279" s="115">
        <f t="shared" ref="N279:N280" si="947">K279/$J279</f>
        <v>0.18965517241379312</v>
      </c>
      <c r="O279" s="156">
        <f t="shared" ref="O279:O280" si="948">J279*(1+$O$6*IF(C279="B",-1,1))</f>
        <v>4.3499999999999996</v>
      </c>
      <c r="P279" s="160">
        <f t="shared" si="754"/>
        <v>21750</v>
      </c>
      <c r="Q279" s="160" t="e">
        <f t="shared" ref="Q279:Q280" si="949">(W279-J279)*I279*IF(C279="B",1,-1)*IF(K279=0,1,0)</f>
        <v>#N/A</v>
      </c>
      <c r="R279" s="153" t="e">
        <f t="shared" ca="1" si="876"/>
        <v>#VALUE!</v>
      </c>
      <c r="S279" s="119">
        <f t="shared" ref="S279:S280" si="950">(1-$S$6)*J279</f>
        <v>0.57999999999999985</v>
      </c>
      <c r="T279" s="115" t="e">
        <f>VLOOKUP(TRIM($F279),Reference!B:C,2,0)</f>
        <v>#VALUE!</v>
      </c>
      <c r="U279" s="170">
        <f t="shared" ref="U279:U280" ca="1" si="951">AC279</f>
        <v>0</v>
      </c>
      <c r="V279" s="120" t="str">
        <f t="shared" si="865"/>
        <v>IEX22JUN170PE</v>
      </c>
      <c r="W279" s="158" t="e">
        <f>VLOOKUP($V279,Reference!BA:BD,4,0)</f>
        <v>#N/A</v>
      </c>
      <c r="X279" s="160">
        <f t="shared" ca="1" si="866"/>
        <v>0</v>
      </c>
      <c r="Y279" s="160">
        <f t="shared" ca="1" si="867"/>
        <v>0</v>
      </c>
      <c r="Z279" s="160">
        <f t="shared" ca="1" si="879"/>
        <v>0</v>
      </c>
      <c r="AA279" s="160">
        <f t="shared" ca="1" si="868"/>
        <v>0</v>
      </c>
      <c r="AB279" s="160">
        <f t="shared" ca="1" si="869"/>
        <v>0</v>
      </c>
      <c r="AC279" s="119">
        <f t="shared" ca="1" si="870"/>
        <v>0</v>
      </c>
      <c r="AD279" s="115">
        <f t="shared" ref="AD279:AD280" ca="1" si="952">(H279-TODAY())/365</f>
        <v>-1.210958904109589</v>
      </c>
      <c r="AE279" s="115">
        <f t="shared" ref="AE279:AE280" si="953">IF(I279&lt;&gt;0,20,0)</f>
        <v>20</v>
      </c>
      <c r="AF279" s="115"/>
      <c r="AG279" s="115"/>
      <c r="AH279" s="115">
        <f t="shared" si="755"/>
        <v>0</v>
      </c>
      <c r="AI279" s="115"/>
      <c r="AJ279" s="115">
        <f t="shared" si="756"/>
        <v>0.65249999999999997</v>
      </c>
      <c r="AK279" s="115"/>
      <c r="AL279" s="142"/>
      <c r="AM279" s="153"/>
      <c r="AN279" s="153"/>
      <c r="AO279" s="153"/>
      <c r="AP279" s="153"/>
      <c r="AQ279" s="153"/>
      <c r="AR279" s="153"/>
      <c r="AS279" s="153"/>
      <c r="AT279" s="153"/>
      <c r="AU279" s="153"/>
      <c r="AV279" s="153"/>
      <c r="AW279" s="153"/>
      <c r="AX279" s="153"/>
      <c r="AY279" s="153"/>
      <c r="AZ279" s="153"/>
      <c r="BA279" s="153"/>
      <c r="BB279" s="153"/>
      <c r="BC279" s="153"/>
      <c r="BD279" s="153"/>
      <c r="BE279" s="153"/>
      <c r="BF279" s="153"/>
      <c r="BG279" s="153"/>
      <c r="BS279" s="13">
        <v>2</v>
      </c>
      <c r="BT279" s="123">
        <v>44491</v>
      </c>
      <c r="BU279" s="116" t="s">
        <v>8</v>
      </c>
      <c r="BV279" s="115" t="s">
        <v>482</v>
      </c>
      <c r="BW279" s="116" t="s">
        <v>502</v>
      </c>
      <c r="BX279" s="115">
        <v>18400</v>
      </c>
      <c r="BY279" s="115">
        <v>41.7</v>
      </c>
      <c r="BZ279" s="115">
        <v>47.945</v>
      </c>
      <c r="CA279" s="119">
        <v>-3216.6708800000001</v>
      </c>
      <c r="CB279" s="115">
        <v>1.1497601918465228</v>
      </c>
      <c r="CC279" s="115">
        <v>500</v>
      </c>
      <c r="CD279" s="115">
        <v>50</v>
      </c>
      <c r="CE279" s="119">
        <v>20850</v>
      </c>
    </row>
    <row r="280" spans="1:83" hidden="1">
      <c r="A280" s="13">
        <f t="shared" si="753"/>
        <v>273</v>
      </c>
      <c r="B280" s="123">
        <v>44707</v>
      </c>
      <c r="C280" s="116" t="s">
        <v>8</v>
      </c>
      <c r="D280" s="116">
        <v>1</v>
      </c>
      <c r="E280" s="115" t="s">
        <v>482</v>
      </c>
      <c r="F280" s="116" t="s">
        <v>130</v>
      </c>
      <c r="G280" s="115">
        <v>220</v>
      </c>
      <c r="H280" s="117">
        <v>44742</v>
      </c>
      <c r="I280" s="115">
        <v>3375</v>
      </c>
      <c r="J280" s="115">
        <v>15.05</v>
      </c>
      <c r="K280" s="115">
        <v>5.6</v>
      </c>
      <c r="L280" s="119">
        <f t="shared" ca="1" si="945"/>
        <v>0</v>
      </c>
      <c r="M280" s="119">
        <f t="shared" si="946"/>
        <v>31893.750000000004</v>
      </c>
      <c r="N280" s="115">
        <f t="shared" si="947"/>
        <v>0.37209302325581389</v>
      </c>
      <c r="O280" s="156">
        <f t="shared" si="948"/>
        <v>18.8125</v>
      </c>
      <c r="P280" s="160">
        <f t="shared" si="754"/>
        <v>50793.75</v>
      </c>
      <c r="Q280" s="160" t="e">
        <f t="shared" si="949"/>
        <v>#N/A</v>
      </c>
      <c r="R280" s="153" t="e">
        <f t="shared" ca="1" si="876"/>
        <v>#VALUE!</v>
      </c>
      <c r="S280" s="119">
        <f t="shared" si="950"/>
        <v>1.5049999999999997</v>
      </c>
      <c r="T280" s="115" t="e">
        <f>VLOOKUP(TRIM($F280),Reference!B:C,2,0)</f>
        <v>#VALUE!</v>
      </c>
      <c r="U280" s="170">
        <f t="shared" ca="1" si="951"/>
        <v>0</v>
      </c>
      <c r="V280" s="120" t="str">
        <f t="shared" si="865"/>
        <v>TATAPOWER22JUN220PE</v>
      </c>
      <c r="W280" s="158" t="e">
        <f>VLOOKUP($V280,Reference!BA:BD,4,0)</f>
        <v>#N/A</v>
      </c>
      <c r="X280" s="160">
        <f t="shared" ca="1" si="866"/>
        <v>0</v>
      </c>
      <c r="Y280" s="160">
        <f t="shared" ca="1" si="867"/>
        <v>0</v>
      </c>
      <c r="Z280" s="160">
        <f t="shared" ca="1" si="879"/>
        <v>0</v>
      </c>
      <c r="AA280" s="160">
        <f t="shared" ca="1" si="868"/>
        <v>0</v>
      </c>
      <c r="AB280" s="160">
        <f t="shared" ca="1" si="869"/>
        <v>0</v>
      </c>
      <c r="AC280" s="119">
        <f t="shared" ca="1" si="870"/>
        <v>0</v>
      </c>
      <c r="AD280" s="115">
        <f t="shared" ca="1" si="952"/>
        <v>-1.210958904109589</v>
      </c>
      <c r="AE280" s="115">
        <f t="shared" si="953"/>
        <v>20</v>
      </c>
      <c r="AF280" s="115"/>
      <c r="AG280" s="115"/>
      <c r="AH280" s="115">
        <f t="shared" si="755"/>
        <v>25.396875000000001</v>
      </c>
      <c r="AI280" s="115"/>
      <c r="AJ280" s="115">
        <f t="shared" si="756"/>
        <v>0</v>
      </c>
      <c r="AK280" s="115"/>
      <c r="AL280" s="142"/>
      <c r="AM280" s="153"/>
      <c r="AN280" s="153"/>
      <c r="AO280" s="153"/>
      <c r="AP280" s="153"/>
      <c r="AQ280" s="153"/>
      <c r="AR280" s="153"/>
      <c r="AS280" s="153"/>
      <c r="AT280" s="153"/>
      <c r="AU280" s="153"/>
      <c r="AV280" s="153"/>
      <c r="AW280" s="153"/>
      <c r="AX280" s="153"/>
      <c r="AY280" s="153"/>
      <c r="AZ280" s="153"/>
      <c r="BA280" s="153"/>
      <c r="BB280" s="153"/>
      <c r="BC280" s="153"/>
      <c r="BD280" s="153"/>
      <c r="BE280" s="153"/>
      <c r="BF280" s="153"/>
      <c r="BG280" s="153"/>
      <c r="BS280" s="13">
        <v>2</v>
      </c>
      <c r="BT280" s="123">
        <v>44491</v>
      </c>
      <c r="BU280" s="116" t="s">
        <v>8</v>
      </c>
      <c r="BV280" s="115" t="s">
        <v>482</v>
      </c>
      <c r="BW280" s="116" t="s">
        <v>502</v>
      </c>
      <c r="BX280" s="115">
        <v>18400</v>
      </c>
      <c r="BY280" s="115">
        <v>41.7</v>
      </c>
      <c r="BZ280" s="115">
        <v>47.945</v>
      </c>
      <c r="CA280" s="119">
        <v>-3216.6708800000001</v>
      </c>
      <c r="CB280" s="115">
        <v>1.1497601918465228</v>
      </c>
      <c r="CC280" s="115">
        <v>500</v>
      </c>
      <c r="CD280" s="115">
        <v>50</v>
      </c>
      <c r="CE280" s="119">
        <v>20850</v>
      </c>
    </row>
    <row r="281" spans="1:83" hidden="1">
      <c r="A281" s="13">
        <f t="shared" si="753"/>
        <v>274</v>
      </c>
      <c r="B281" s="123">
        <v>44707</v>
      </c>
      <c r="C281" s="116" t="s">
        <v>6</v>
      </c>
      <c r="D281" s="116">
        <v>1</v>
      </c>
      <c r="E281" s="115" t="s">
        <v>482</v>
      </c>
      <c r="F281" s="116" t="s">
        <v>130</v>
      </c>
      <c r="G281" s="115">
        <v>210</v>
      </c>
      <c r="H281" s="117">
        <v>44742</v>
      </c>
      <c r="I281" s="115">
        <v>3375</v>
      </c>
      <c r="J281" s="115">
        <v>10</v>
      </c>
      <c r="K281" s="115">
        <v>3.8</v>
      </c>
      <c r="L281" s="119">
        <f t="shared" ref="L281:L282" ca="1" si="954">IF(AND(K281&lt;&gt;0,I281&lt;&gt;0),(IF(C281="B",1,-1))*(K281-J281)*I281-AK281*2,0)*$D281*IF(MONTH($B$2)=MONTH($H281),1,0)</f>
        <v>0</v>
      </c>
      <c r="M281" s="119">
        <f t="shared" ref="M281:M282" si="955">IF(AND(K281&lt;&gt;0,I281&lt;&gt;0),(IF(C281="B",1,-1))*(K281-J281)*I281-AK281*2,0)*$D281</f>
        <v>-20925</v>
      </c>
      <c r="N281" s="115">
        <f t="shared" ref="N281:N282" si="956">K281/$J281</f>
        <v>0.38</v>
      </c>
      <c r="O281" s="156">
        <f t="shared" ref="O281:O282" si="957">J281*(1+$O$6*IF(C281="B",-1,1))</f>
        <v>7.5</v>
      </c>
      <c r="P281" s="160">
        <f t="shared" si="754"/>
        <v>33750</v>
      </c>
      <c r="Q281" s="160" t="e">
        <f t="shared" ref="Q281:Q282" si="958">(W281-J281)*I281*IF(C281="B",1,-1)*IF(K281=0,1,0)</f>
        <v>#N/A</v>
      </c>
      <c r="R281" s="153" t="e">
        <f t="shared" ca="1" si="876"/>
        <v>#VALUE!</v>
      </c>
      <c r="S281" s="119">
        <f t="shared" ref="S281:S282" si="959">(1-$S$6)*J281</f>
        <v>0.99999999999999978</v>
      </c>
      <c r="T281" s="115" t="e">
        <f>VLOOKUP(TRIM($F281),Reference!B:C,2,0)</f>
        <v>#VALUE!</v>
      </c>
      <c r="U281" s="170">
        <f t="shared" ref="U281:U282" ca="1" si="960">AC281</f>
        <v>0</v>
      </c>
      <c r="V281" s="120" t="str">
        <f t="shared" si="865"/>
        <v>TATAPOWER22JUN210PE</v>
      </c>
      <c r="W281" s="158" t="e">
        <f>VLOOKUP($V281,Reference!BA:BD,4,0)</f>
        <v>#N/A</v>
      </c>
      <c r="X281" s="160">
        <f t="shared" ca="1" si="866"/>
        <v>0</v>
      </c>
      <c r="Y281" s="160">
        <f t="shared" ca="1" si="867"/>
        <v>0</v>
      </c>
      <c r="Z281" s="160">
        <f t="shared" ca="1" si="879"/>
        <v>0</v>
      </c>
      <c r="AA281" s="160">
        <f t="shared" ca="1" si="868"/>
        <v>0</v>
      </c>
      <c r="AB281" s="160">
        <f t="shared" ca="1" si="869"/>
        <v>0</v>
      </c>
      <c r="AC281" s="119">
        <f t="shared" ca="1" si="870"/>
        <v>0</v>
      </c>
      <c r="AD281" s="115">
        <f t="shared" ref="AD281:AD282" ca="1" si="961">(H281-TODAY())/365</f>
        <v>-1.210958904109589</v>
      </c>
      <c r="AE281" s="115">
        <f t="shared" ref="AE281:AE282" si="962">IF(I281&lt;&gt;0,20,0)</f>
        <v>20</v>
      </c>
      <c r="AF281" s="115"/>
      <c r="AG281" s="115"/>
      <c r="AH281" s="115">
        <f t="shared" si="755"/>
        <v>0</v>
      </c>
      <c r="AI281" s="115"/>
      <c r="AJ281" s="115">
        <f t="shared" si="756"/>
        <v>1.0125</v>
      </c>
      <c r="AK281" s="115"/>
      <c r="AL281" s="142"/>
      <c r="AM281" s="153"/>
      <c r="AN281" s="153"/>
      <c r="AO281" s="153"/>
      <c r="AP281" s="153"/>
      <c r="AQ281" s="153"/>
      <c r="AR281" s="153"/>
      <c r="AS281" s="153"/>
      <c r="AT281" s="153"/>
      <c r="AU281" s="153"/>
      <c r="AV281" s="153"/>
      <c r="AW281" s="153"/>
      <c r="AX281" s="153"/>
      <c r="AY281" s="153"/>
      <c r="AZ281" s="153"/>
      <c r="BA281" s="153"/>
      <c r="BB281" s="153"/>
      <c r="BC281" s="153"/>
      <c r="BD281" s="153"/>
      <c r="BE281" s="153"/>
      <c r="BF281" s="153"/>
      <c r="BG281" s="153"/>
      <c r="BS281" s="13">
        <v>2</v>
      </c>
      <c r="BT281" s="123">
        <v>44491</v>
      </c>
      <c r="BU281" s="116" t="s">
        <v>8</v>
      </c>
      <c r="BV281" s="115" t="s">
        <v>482</v>
      </c>
      <c r="BW281" s="116" t="s">
        <v>502</v>
      </c>
      <c r="BX281" s="115">
        <v>18400</v>
      </c>
      <c r="BY281" s="115">
        <v>41.7</v>
      </c>
      <c r="BZ281" s="115">
        <v>47.945</v>
      </c>
      <c r="CA281" s="119">
        <v>-3216.6708800000001</v>
      </c>
      <c r="CB281" s="115">
        <v>1.1497601918465228</v>
      </c>
      <c r="CC281" s="115">
        <v>500</v>
      </c>
      <c r="CD281" s="115">
        <v>50</v>
      </c>
      <c r="CE281" s="119">
        <v>20850</v>
      </c>
    </row>
    <row r="282" spans="1:83" hidden="1">
      <c r="A282" s="13">
        <f t="shared" si="753"/>
        <v>275</v>
      </c>
      <c r="B282" s="123">
        <v>44707</v>
      </c>
      <c r="C282" s="116" t="s">
        <v>8</v>
      </c>
      <c r="D282" s="116">
        <v>1</v>
      </c>
      <c r="E282" s="115" t="s">
        <v>482</v>
      </c>
      <c r="F282" s="116" t="s">
        <v>126</v>
      </c>
      <c r="G282" s="115">
        <v>180</v>
      </c>
      <c r="H282" s="117">
        <v>44742</v>
      </c>
      <c r="I282" s="115">
        <v>3750</v>
      </c>
      <c r="J282" s="115">
        <v>10.5</v>
      </c>
      <c r="K282" s="115">
        <v>13.6</v>
      </c>
      <c r="L282" s="119">
        <f t="shared" ca="1" si="954"/>
        <v>0</v>
      </c>
      <c r="M282" s="119">
        <f t="shared" si="955"/>
        <v>-11624.999999999998</v>
      </c>
      <c r="N282" s="115">
        <f t="shared" si="956"/>
        <v>1.2952380952380953</v>
      </c>
      <c r="O282" s="156">
        <f t="shared" si="957"/>
        <v>13.125</v>
      </c>
      <c r="P282" s="160">
        <f t="shared" si="754"/>
        <v>39375</v>
      </c>
      <c r="Q282" s="160" t="e">
        <f t="shared" si="958"/>
        <v>#N/A</v>
      </c>
      <c r="R282" s="153" t="e">
        <f t="shared" ca="1" si="876"/>
        <v>#VALUE!</v>
      </c>
      <c r="S282" s="119">
        <f t="shared" si="959"/>
        <v>1.0499999999999998</v>
      </c>
      <c r="T282" s="115" t="e">
        <f>VLOOKUP(TRIM($F282),Reference!B:C,2,0)</f>
        <v>#VALUE!</v>
      </c>
      <c r="U282" s="170">
        <f t="shared" ca="1" si="960"/>
        <v>0</v>
      </c>
      <c r="V282" s="120" t="str">
        <f t="shared" si="865"/>
        <v>IEX22JUN180PE</v>
      </c>
      <c r="W282" s="158" t="e">
        <f>VLOOKUP($V282,Reference!BA:BD,4,0)</f>
        <v>#N/A</v>
      </c>
      <c r="X282" s="160">
        <f t="shared" ca="1" si="866"/>
        <v>0</v>
      </c>
      <c r="Y282" s="160">
        <f t="shared" ca="1" si="867"/>
        <v>0</v>
      </c>
      <c r="Z282" s="160">
        <f t="shared" ca="1" si="879"/>
        <v>0</v>
      </c>
      <c r="AA282" s="160">
        <f t="shared" ca="1" si="868"/>
        <v>0</v>
      </c>
      <c r="AB282" s="160">
        <f t="shared" ca="1" si="869"/>
        <v>0</v>
      </c>
      <c r="AC282" s="119">
        <f t="shared" ca="1" si="870"/>
        <v>0</v>
      </c>
      <c r="AD282" s="115">
        <f t="shared" ca="1" si="961"/>
        <v>-1.210958904109589</v>
      </c>
      <c r="AE282" s="115">
        <f t="shared" si="962"/>
        <v>20</v>
      </c>
      <c r="AF282" s="115"/>
      <c r="AG282" s="115"/>
      <c r="AH282" s="115">
        <f t="shared" si="755"/>
        <v>19.6875</v>
      </c>
      <c r="AI282" s="115"/>
      <c r="AJ282" s="115">
        <f t="shared" si="756"/>
        <v>0</v>
      </c>
      <c r="AK282" s="115"/>
      <c r="AL282" s="142"/>
      <c r="AM282" s="153"/>
      <c r="AN282" s="153"/>
      <c r="AO282" s="153"/>
      <c r="AP282" s="153"/>
      <c r="AQ282" s="153"/>
      <c r="AR282" s="153"/>
      <c r="AS282" s="153"/>
      <c r="AT282" s="153"/>
      <c r="AU282" s="153"/>
      <c r="AV282" s="153"/>
      <c r="AW282" s="153"/>
      <c r="AX282" s="153"/>
      <c r="AY282" s="153"/>
      <c r="AZ282" s="153"/>
      <c r="BA282" s="153"/>
      <c r="BB282" s="153"/>
      <c r="BC282" s="153"/>
      <c r="BD282" s="153"/>
      <c r="BE282" s="153"/>
      <c r="BF282" s="153"/>
      <c r="BG282" s="153"/>
      <c r="BS282" s="13">
        <v>2</v>
      </c>
      <c r="BT282" s="123">
        <v>44491</v>
      </c>
      <c r="BU282" s="116" t="s">
        <v>8</v>
      </c>
      <c r="BV282" s="115" t="s">
        <v>482</v>
      </c>
      <c r="BW282" s="116" t="s">
        <v>502</v>
      </c>
      <c r="BX282" s="115">
        <v>18400</v>
      </c>
      <c r="BY282" s="115">
        <v>41.7</v>
      </c>
      <c r="BZ282" s="115">
        <v>47.945</v>
      </c>
      <c r="CA282" s="119">
        <v>-3216.6708800000001</v>
      </c>
      <c r="CB282" s="115">
        <v>1.1497601918465228</v>
      </c>
      <c r="CC282" s="115">
        <v>500</v>
      </c>
      <c r="CD282" s="115">
        <v>50</v>
      </c>
      <c r="CE282" s="119">
        <v>20850</v>
      </c>
    </row>
    <row r="283" spans="1:83" hidden="1">
      <c r="A283" s="13">
        <f t="shared" si="753"/>
        <v>276</v>
      </c>
      <c r="B283" s="123">
        <v>44707</v>
      </c>
      <c r="C283" s="116" t="s">
        <v>8</v>
      </c>
      <c r="D283" s="116">
        <v>1</v>
      </c>
      <c r="E283" s="115" t="s">
        <v>482</v>
      </c>
      <c r="F283" s="116" t="s">
        <v>502</v>
      </c>
      <c r="G283" s="115">
        <v>16000</v>
      </c>
      <c r="H283" s="117">
        <v>44742</v>
      </c>
      <c r="I283" s="115">
        <v>50</v>
      </c>
      <c r="J283" s="115">
        <v>484</v>
      </c>
      <c r="K283" s="115">
        <v>440</v>
      </c>
      <c r="L283" s="119">
        <f t="shared" ref="L283:L284" ca="1" si="963">IF(AND(K283&lt;&gt;0,I283&lt;&gt;0),(IF(C283="B",1,-1))*(K283-J283)*I283-AK283*2,0)*$D283*IF(MONTH($B$2)=MONTH($H283),1,0)</f>
        <v>0</v>
      </c>
      <c r="M283" s="119">
        <f t="shared" ref="M283:M284" si="964">IF(AND(K283&lt;&gt;0,I283&lt;&gt;0),(IF(C283="B",1,-1))*(K283-J283)*I283-AK283*2,0)*$D283</f>
        <v>2200</v>
      </c>
      <c r="N283" s="115">
        <f t="shared" ref="N283:N284" si="965">K283/$J283</f>
        <v>0.90909090909090906</v>
      </c>
      <c r="O283" s="156">
        <f t="shared" ref="O283:O284" si="966">J283*(1+$O$6*IF(C283="B",-1,1))</f>
        <v>605</v>
      </c>
      <c r="P283" s="160">
        <f t="shared" si="754"/>
        <v>24200</v>
      </c>
      <c r="Q283" s="160" t="e">
        <f t="shared" ref="Q283:Q284" si="967">(W283-J283)*I283*IF(C283="B",1,-1)*IF(K283=0,1,0)</f>
        <v>#N/A</v>
      </c>
      <c r="R283" s="153" t="e">
        <f t="shared" ca="1" si="876"/>
        <v>#VALUE!</v>
      </c>
      <c r="S283" s="119">
        <f t="shared" ref="S283:S284" si="968">(1-$S$6)*J283</f>
        <v>48.399999999999991</v>
      </c>
      <c r="T283" s="115" t="str">
        <f>VLOOKUP(TRIM($F283),Reference!B:C,2,0)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83" s="170">
        <f t="shared" ref="U283:U284" ca="1" si="969">AC283</f>
        <v>0</v>
      </c>
      <c r="V283" s="120" t="str">
        <f t="shared" si="865"/>
        <v>NIFTY22JUN16000PE</v>
      </c>
      <c r="W283" s="158" t="e">
        <f>VLOOKUP($V283,Reference!BA:BD,4,0)</f>
        <v>#N/A</v>
      </c>
      <c r="X283" s="160">
        <f t="shared" ca="1" si="866"/>
        <v>0</v>
      </c>
      <c r="Y283" s="160">
        <f t="shared" ca="1" si="867"/>
        <v>0</v>
      </c>
      <c r="Z283" s="160">
        <f t="shared" ca="1" si="879"/>
        <v>0</v>
      </c>
      <c r="AA283" s="160">
        <f t="shared" ca="1" si="868"/>
        <v>0</v>
      </c>
      <c r="AB283" s="160">
        <f t="shared" ca="1" si="869"/>
        <v>0</v>
      </c>
      <c r="AC283" s="119">
        <f t="shared" ca="1" si="870"/>
        <v>0</v>
      </c>
      <c r="AD283" s="115">
        <f t="shared" ref="AD283:AD284" ca="1" si="970">(H283-TODAY())/365</f>
        <v>-1.210958904109589</v>
      </c>
      <c r="AE283" s="115">
        <f t="shared" ref="AE283:AE284" si="971">IF(I283&lt;&gt;0,20,0)</f>
        <v>20</v>
      </c>
      <c r="AF283" s="115"/>
      <c r="AG283" s="115"/>
      <c r="AH283" s="115">
        <f t="shared" si="755"/>
        <v>12.1</v>
      </c>
      <c r="AI283" s="115"/>
      <c r="AJ283" s="115">
        <f t="shared" si="756"/>
        <v>0</v>
      </c>
      <c r="AK283" s="115"/>
      <c r="AL283" s="142"/>
      <c r="AM283" s="153"/>
      <c r="AN283" s="153"/>
      <c r="AO283" s="153"/>
      <c r="AP283" s="153"/>
      <c r="AQ283" s="153"/>
      <c r="AR283" s="153"/>
      <c r="AS283" s="153"/>
      <c r="AT283" s="153"/>
      <c r="AU283" s="153"/>
      <c r="AV283" s="153"/>
      <c r="AW283" s="153"/>
      <c r="AX283" s="153"/>
      <c r="AY283" s="153"/>
      <c r="AZ283" s="153"/>
      <c r="BA283" s="153"/>
      <c r="BB283" s="153"/>
      <c r="BC283" s="153"/>
      <c r="BD283" s="153"/>
      <c r="BE283" s="153"/>
      <c r="BF283" s="153"/>
      <c r="BG283" s="153"/>
      <c r="BS283" s="13">
        <v>2</v>
      </c>
      <c r="BT283" s="123">
        <v>44491</v>
      </c>
      <c r="BU283" s="116" t="s">
        <v>8</v>
      </c>
      <c r="BV283" s="115" t="s">
        <v>482</v>
      </c>
      <c r="BW283" s="116" t="s">
        <v>502</v>
      </c>
      <c r="BX283" s="115">
        <v>18400</v>
      </c>
      <c r="BY283" s="115">
        <v>41.7</v>
      </c>
      <c r="BZ283" s="115">
        <v>47.945</v>
      </c>
      <c r="CA283" s="119">
        <v>-3216.6708800000001</v>
      </c>
      <c r="CB283" s="115">
        <v>1.1497601918465228</v>
      </c>
      <c r="CC283" s="115">
        <v>500</v>
      </c>
      <c r="CD283" s="115">
        <v>50</v>
      </c>
      <c r="CE283" s="119">
        <v>20850</v>
      </c>
    </row>
    <row r="284" spans="1:83" hidden="1">
      <c r="A284" s="13">
        <f t="shared" si="753"/>
        <v>277</v>
      </c>
      <c r="B284" s="123">
        <v>44707</v>
      </c>
      <c r="C284" s="116" t="s">
        <v>8</v>
      </c>
      <c r="D284" s="116">
        <v>1</v>
      </c>
      <c r="E284" s="115" t="s">
        <v>481</v>
      </c>
      <c r="F284" s="116" t="s">
        <v>284</v>
      </c>
      <c r="G284" s="115">
        <v>450</v>
      </c>
      <c r="H284" s="117">
        <v>44742</v>
      </c>
      <c r="I284" s="115">
        <v>1425</v>
      </c>
      <c r="J284" s="115">
        <v>7.85</v>
      </c>
      <c r="K284" s="115">
        <v>0</v>
      </c>
      <c r="L284" s="119">
        <f t="shared" ca="1" si="963"/>
        <v>0</v>
      </c>
      <c r="M284" s="119">
        <f t="shared" si="964"/>
        <v>0</v>
      </c>
      <c r="N284" s="115">
        <f t="shared" si="965"/>
        <v>0</v>
      </c>
      <c r="O284" s="156">
        <f t="shared" si="966"/>
        <v>9.8125</v>
      </c>
      <c r="P284" s="160">
        <f t="shared" si="754"/>
        <v>11186.25</v>
      </c>
      <c r="Q284" s="160" t="e">
        <f t="shared" si="967"/>
        <v>#N/A</v>
      </c>
      <c r="R284" s="153" t="e">
        <f t="shared" ca="1" si="876"/>
        <v>#VALUE!</v>
      </c>
      <c r="S284" s="119">
        <f t="shared" si="968"/>
        <v>0.78499999999999981</v>
      </c>
      <c r="T284" s="115" t="e">
        <f>VLOOKUP(TRIM($F284),Reference!B:C,2,0)</f>
        <v>#VALUE!</v>
      </c>
      <c r="U284" s="170">
        <f t="shared" ca="1" si="969"/>
        <v>0</v>
      </c>
      <c r="V284" s="120" t="str">
        <f t="shared" si="865"/>
        <v>TATAMOTORS22JUN450CE</v>
      </c>
      <c r="W284" s="158" t="e">
        <f>VLOOKUP($V284,Reference!BA:BD,4,0)</f>
        <v>#N/A</v>
      </c>
      <c r="X284" s="160">
        <f t="shared" ca="1" si="866"/>
        <v>0</v>
      </c>
      <c r="Y284" s="160">
        <f t="shared" ca="1" si="867"/>
        <v>0</v>
      </c>
      <c r="Z284" s="160">
        <f t="shared" ca="1" si="879"/>
        <v>0</v>
      </c>
      <c r="AA284" s="160">
        <f t="shared" ca="1" si="868"/>
        <v>0</v>
      </c>
      <c r="AB284" s="160">
        <f t="shared" ca="1" si="869"/>
        <v>0</v>
      </c>
      <c r="AC284" s="119">
        <f t="shared" ca="1" si="870"/>
        <v>0</v>
      </c>
      <c r="AD284" s="115">
        <f t="shared" ca="1" si="970"/>
        <v>-1.210958904109589</v>
      </c>
      <c r="AE284" s="115">
        <f t="shared" si="971"/>
        <v>20</v>
      </c>
      <c r="AF284" s="115"/>
      <c r="AG284" s="115"/>
      <c r="AH284" s="115">
        <f t="shared" si="755"/>
        <v>5.5931249999999997</v>
      </c>
      <c r="AI284" s="115"/>
      <c r="AJ284" s="115">
        <f t="shared" si="756"/>
        <v>0</v>
      </c>
      <c r="AK284" s="115"/>
      <c r="AL284" s="142"/>
      <c r="AM284" s="153"/>
      <c r="AN284" s="153"/>
      <c r="AO284" s="153"/>
      <c r="AP284" s="153"/>
      <c r="AQ284" s="153"/>
      <c r="AR284" s="153"/>
      <c r="AS284" s="153"/>
      <c r="AT284" s="153"/>
      <c r="AU284" s="153"/>
      <c r="AV284" s="153"/>
      <c r="AW284" s="153"/>
      <c r="AX284" s="153"/>
      <c r="AY284" s="153"/>
      <c r="AZ284" s="153"/>
      <c r="BA284" s="153"/>
      <c r="BB284" s="153"/>
      <c r="BC284" s="153"/>
      <c r="BD284" s="153"/>
      <c r="BE284" s="153"/>
      <c r="BF284" s="153"/>
      <c r="BG284" s="153"/>
      <c r="BS284" s="13">
        <v>2</v>
      </c>
      <c r="BT284" s="123">
        <v>44491</v>
      </c>
      <c r="BU284" s="116" t="s">
        <v>8</v>
      </c>
      <c r="BV284" s="115" t="s">
        <v>482</v>
      </c>
      <c r="BW284" s="116" t="s">
        <v>502</v>
      </c>
      <c r="BX284" s="115">
        <v>18400</v>
      </c>
      <c r="BY284" s="115">
        <v>41.7</v>
      </c>
      <c r="BZ284" s="115">
        <v>47.945</v>
      </c>
      <c r="CA284" s="119">
        <v>-3216.6708800000001</v>
      </c>
      <c r="CB284" s="115">
        <v>1.1497601918465228</v>
      </c>
      <c r="CC284" s="115">
        <v>500</v>
      </c>
      <c r="CD284" s="115">
        <v>50</v>
      </c>
      <c r="CE284" s="119">
        <v>20850</v>
      </c>
    </row>
    <row r="285" spans="1:83" hidden="1">
      <c r="A285" s="13">
        <f t="shared" si="753"/>
        <v>278</v>
      </c>
      <c r="B285" s="123">
        <v>44707</v>
      </c>
      <c r="C285" s="116" t="s">
        <v>8</v>
      </c>
      <c r="D285" s="116">
        <v>1</v>
      </c>
      <c r="E285" s="115" t="s">
        <v>481</v>
      </c>
      <c r="F285" s="116" t="s">
        <v>284</v>
      </c>
      <c r="G285" s="115">
        <v>450</v>
      </c>
      <c r="H285" s="117">
        <v>44742</v>
      </c>
      <c r="I285" s="115">
        <v>1425</v>
      </c>
      <c r="J285" s="115">
        <v>8.1</v>
      </c>
      <c r="K285" s="115">
        <v>0</v>
      </c>
      <c r="L285" s="119">
        <f t="shared" ref="L285:L287" ca="1" si="972">IF(AND(K285&lt;&gt;0,I285&lt;&gt;0),(IF(C285="B",1,-1))*(K285-J285)*I285-AK285*2,0)*$D285*IF(MONTH($B$2)=MONTH($H285),1,0)</f>
        <v>0</v>
      </c>
      <c r="M285" s="119">
        <f t="shared" ref="M285:M287" si="973">IF(AND(K285&lt;&gt;0,I285&lt;&gt;0),(IF(C285="B",1,-1))*(K285-J285)*I285-AK285*2,0)*$D285</f>
        <v>0</v>
      </c>
      <c r="N285" s="115">
        <f t="shared" ref="N285:N287" si="974">K285/$J285</f>
        <v>0</v>
      </c>
      <c r="O285" s="156">
        <f t="shared" ref="O285:O287" si="975">J285*(1+$O$6*IF(C285="B",-1,1))</f>
        <v>10.125</v>
      </c>
      <c r="P285" s="160">
        <f t="shared" si="754"/>
        <v>11542.5</v>
      </c>
      <c r="Q285" s="160" t="e">
        <f t="shared" ref="Q285:Q287" si="976">(W285-J285)*I285*IF(C285="B",1,-1)*IF(K285=0,1,0)</f>
        <v>#N/A</v>
      </c>
      <c r="R285" s="153" t="e">
        <f t="shared" ca="1" si="876"/>
        <v>#VALUE!</v>
      </c>
      <c r="S285" s="119">
        <f t="shared" ref="S285:S287" si="977">(1-$S$6)*J285</f>
        <v>0.80999999999999983</v>
      </c>
      <c r="T285" s="115" t="e">
        <f>VLOOKUP(TRIM($F285),Reference!B:C,2,0)</f>
        <v>#VALUE!</v>
      </c>
      <c r="U285" s="170">
        <f t="shared" ref="U285:U287" ca="1" si="978">AC285</f>
        <v>0</v>
      </c>
      <c r="V285" s="120" t="str">
        <f t="shared" si="865"/>
        <v>TATAMOTORS22JUN450CE</v>
      </c>
      <c r="W285" s="158" t="e">
        <f>VLOOKUP($V285,Reference!BA:BD,4,0)</f>
        <v>#N/A</v>
      </c>
      <c r="X285" s="160">
        <f t="shared" ca="1" si="866"/>
        <v>0</v>
      </c>
      <c r="Y285" s="160">
        <f t="shared" ca="1" si="867"/>
        <v>0</v>
      </c>
      <c r="Z285" s="160">
        <f t="shared" ca="1" si="879"/>
        <v>0</v>
      </c>
      <c r="AA285" s="160">
        <f t="shared" ca="1" si="868"/>
        <v>0</v>
      </c>
      <c r="AB285" s="160">
        <f t="shared" ca="1" si="869"/>
        <v>0</v>
      </c>
      <c r="AC285" s="119">
        <f t="shared" ca="1" si="870"/>
        <v>0</v>
      </c>
      <c r="AD285" s="115">
        <f t="shared" ref="AD285:AD287" ca="1" si="979">(H285-TODAY())/365</f>
        <v>-1.210958904109589</v>
      </c>
      <c r="AE285" s="115">
        <f t="shared" ref="AE285:AE287" si="980">IF(I285&lt;&gt;0,20,0)</f>
        <v>20</v>
      </c>
      <c r="AF285" s="115"/>
      <c r="AG285" s="115"/>
      <c r="AH285" s="115">
        <f t="shared" si="755"/>
        <v>5.7712500000000002</v>
      </c>
      <c r="AI285" s="115"/>
      <c r="AJ285" s="115">
        <f t="shared" si="756"/>
        <v>0</v>
      </c>
      <c r="AK285" s="115"/>
      <c r="AL285" s="142"/>
      <c r="AM285" s="153"/>
      <c r="AN285" s="153"/>
      <c r="AO285" s="153"/>
      <c r="AP285" s="153"/>
      <c r="AQ285" s="153"/>
      <c r="AR285" s="153"/>
      <c r="AS285" s="153"/>
      <c r="AT285" s="153"/>
      <c r="AU285" s="153"/>
      <c r="AV285" s="153"/>
      <c r="AW285" s="153"/>
      <c r="AX285" s="153"/>
      <c r="AY285" s="153"/>
      <c r="AZ285" s="153"/>
      <c r="BA285" s="153"/>
      <c r="BB285" s="153"/>
      <c r="BC285" s="153"/>
      <c r="BD285" s="153"/>
      <c r="BE285" s="153"/>
      <c r="BF285" s="153"/>
      <c r="BG285" s="153"/>
      <c r="BS285" s="13">
        <v>2</v>
      </c>
      <c r="BT285" s="123">
        <v>44491</v>
      </c>
      <c r="BU285" s="116" t="s">
        <v>8</v>
      </c>
      <c r="BV285" s="115" t="s">
        <v>482</v>
      </c>
      <c r="BW285" s="116" t="s">
        <v>502</v>
      </c>
      <c r="BX285" s="115">
        <v>18400</v>
      </c>
      <c r="BY285" s="115">
        <v>41.7</v>
      </c>
      <c r="BZ285" s="115">
        <v>47.945</v>
      </c>
      <c r="CA285" s="119">
        <v>-3216.6708800000001</v>
      </c>
      <c r="CB285" s="115">
        <v>1.1497601918465228</v>
      </c>
      <c r="CC285" s="115">
        <v>500</v>
      </c>
      <c r="CD285" s="115">
        <v>50</v>
      </c>
      <c r="CE285" s="119">
        <v>20850</v>
      </c>
    </row>
    <row r="286" spans="1:83" hidden="1">
      <c r="A286" s="13">
        <f t="shared" si="753"/>
        <v>279</v>
      </c>
      <c r="B286" s="123">
        <v>44707</v>
      </c>
      <c r="C286" s="116" t="s">
        <v>6</v>
      </c>
      <c r="D286" s="116">
        <v>1</v>
      </c>
      <c r="E286" s="115" t="s">
        <v>482</v>
      </c>
      <c r="F286" s="116" t="s">
        <v>130</v>
      </c>
      <c r="G286" s="115">
        <v>210</v>
      </c>
      <c r="H286" s="117">
        <v>44742</v>
      </c>
      <c r="I286" s="115">
        <v>3375</v>
      </c>
      <c r="J286" s="115">
        <v>7.45</v>
      </c>
      <c r="K286" s="115">
        <v>4.25</v>
      </c>
      <c r="L286" s="119">
        <f t="shared" ca="1" si="972"/>
        <v>0</v>
      </c>
      <c r="M286" s="119">
        <f t="shared" si="973"/>
        <v>-10800</v>
      </c>
      <c r="N286" s="115">
        <f t="shared" si="974"/>
        <v>0.57046979865771807</v>
      </c>
      <c r="O286" s="156">
        <f t="shared" si="975"/>
        <v>5.5875000000000004</v>
      </c>
      <c r="P286" s="160">
        <f t="shared" si="754"/>
        <v>25143.75</v>
      </c>
      <c r="Q286" s="160" t="e">
        <f t="shared" si="976"/>
        <v>#N/A</v>
      </c>
      <c r="R286" s="153" t="e">
        <f t="shared" ca="1" si="876"/>
        <v>#VALUE!</v>
      </c>
      <c r="S286" s="119">
        <f t="shared" si="977"/>
        <v>0.74499999999999988</v>
      </c>
      <c r="T286" s="115" t="e">
        <f>VLOOKUP(TRIM($F286),Reference!B:C,2,0)</f>
        <v>#VALUE!</v>
      </c>
      <c r="U286" s="170">
        <f t="shared" ca="1" si="978"/>
        <v>0</v>
      </c>
      <c r="V286" s="120" t="str">
        <f t="shared" si="865"/>
        <v>TATAPOWER22JUN210PE</v>
      </c>
      <c r="W286" s="158" t="e">
        <f>VLOOKUP($V286,Reference!BA:BD,4,0)</f>
        <v>#N/A</v>
      </c>
      <c r="X286" s="160">
        <f t="shared" ca="1" si="866"/>
        <v>0</v>
      </c>
      <c r="Y286" s="160">
        <f t="shared" ca="1" si="867"/>
        <v>0</v>
      </c>
      <c r="Z286" s="160">
        <f t="shared" ca="1" si="879"/>
        <v>0</v>
      </c>
      <c r="AA286" s="160">
        <f t="shared" ca="1" si="868"/>
        <v>0</v>
      </c>
      <c r="AB286" s="160">
        <f t="shared" ca="1" si="869"/>
        <v>0</v>
      </c>
      <c r="AC286" s="119">
        <f t="shared" ca="1" si="870"/>
        <v>0</v>
      </c>
      <c r="AD286" s="115">
        <f t="shared" ca="1" si="979"/>
        <v>-1.210958904109589</v>
      </c>
      <c r="AE286" s="115">
        <f t="shared" si="980"/>
        <v>20</v>
      </c>
      <c r="AF286" s="115"/>
      <c r="AG286" s="115"/>
      <c r="AH286" s="115">
        <f t="shared" si="755"/>
        <v>0</v>
      </c>
      <c r="AI286" s="115"/>
      <c r="AJ286" s="115">
        <f t="shared" si="756"/>
        <v>0.75431250000000005</v>
      </c>
      <c r="AK286" s="115"/>
      <c r="AL286" s="142"/>
      <c r="AM286" s="153"/>
      <c r="AN286" s="153"/>
      <c r="AO286" s="153"/>
      <c r="AP286" s="153"/>
      <c r="AQ286" s="153"/>
      <c r="AR286" s="153"/>
      <c r="AS286" s="153"/>
      <c r="AT286" s="153"/>
      <c r="AU286" s="153"/>
      <c r="AV286" s="153"/>
      <c r="AW286" s="153"/>
      <c r="AX286" s="153"/>
      <c r="AY286" s="153"/>
      <c r="AZ286" s="153"/>
      <c r="BA286" s="153"/>
      <c r="BB286" s="153"/>
      <c r="BC286" s="153"/>
      <c r="BD286" s="153"/>
      <c r="BE286" s="153"/>
      <c r="BF286" s="153"/>
      <c r="BG286" s="153"/>
      <c r="BS286" s="13">
        <v>2</v>
      </c>
      <c r="BT286" s="123">
        <v>44491</v>
      </c>
      <c r="BU286" s="116" t="s">
        <v>8</v>
      </c>
      <c r="BV286" s="115" t="s">
        <v>482</v>
      </c>
      <c r="BW286" s="116" t="s">
        <v>502</v>
      </c>
      <c r="BX286" s="115">
        <v>18400</v>
      </c>
      <c r="BY286" s="115">
        <v>41.7</v>
      </c>
      <c r="BZ286" s="115">
        <v>47.945</v>
      </c>
      <c r="CA286" s="119">
        <v>-3216.6708800000001</v>
      </c>
      <c r="CB286" s="115">
        <v>1.1497601918465228</v>
      </c>
      <c r="CC286" s="115">
        <v>500</v>
      </c>
      <c r="CD286" s="115">
        <v>50</v>
      </c>
      <c r="CE286" s="119">
        <v>20850</v>
      </c>
    </row>
    <row r="287" spans="1:83" hidden="1">
      <c r="A287" s="13">
        <f t="shared" si="753"/>
        <v>280</v>
      </c>
      <c r="B287" s="123">
        <v>44707</v>
      </c>
      <c r="C287" s="116" t="s">
        <v>8</v>
      </c>
      <c r="D287" s="116">
        <v>1</v>
      </c>
      <c r="E287" s="115" t="s">
        <v>481</v>
      </c>
      <c r="F287" s="116" t="s">
        <v>381</v>
      </c>
      <c r="G287" s="115">
        <v>3000</v>
      </c>
      <c r="H287" s="117">
        <v>44742</v>
      </c>
      <c r="I287" s="115">
        <v>200</v>
      </c>
      <c r="J287" s="115">
        <v>65.150000000000006</v>
      </c>
      <c r="K287" s="115">
        <v>0</v>
      </c>
      <c r="L287" s="119">
        <f t="shared" ca="1" si="972"/>
        <v>0</v>
      </c>
      <c r="M287" s="119">
        <f t="shared" si="973"/>
        <v>0</v>
      </c>
      <c r="N287" s="115">
        <f t="shared" si="974"/>
        <v>0</v>
      </c>
      <c r="O287" s="156">
        <f t="shared" si="975"/>
        <v>81.4375</v>
      </c>
      <c r="P287" s="160">
        <f t="shared" si="754"/>
        <v>13030.000000000002</v>
      </c>
      <c r="Q287" s="160" t="e">
        <f t="shared" si="976"/>
        <v>#N/A</v>
      </c>
      <c r="R287" s="153" t="e">
        <f t="shared" ca="1" si="876"/>
        <v>#VALUE!</v>
      </c>
      <c r="S287" s="119">
        <f t="shared" si="977"/>
        <v>6.5149999999999988</v>
      </c>
      <c r="T287" s="115" t="e">
        <f>VLOOKUP(TRIM($F287),Reference!B:C,2,0)</f>
        <v>#VALUE!</v>
      </c>
      <c r="U287" s="170">
        <f t="shared" ca="1" si="978"/>
        <v>0</v>
      </c>
      <c r="V287" s="120" t="str">
        <f t="shared" si="865"/>
        <v>MINDTREE22JUN3000CE</v>
      </c>
      <c r="W287" s="158" t="e">
        <f>VLOOKUP($V287,Reference!BA:BD,4,0)</f>
        <v>#N/A</v>
      </c>
      <c r="X287" s="160">
        <f t="shared" ca="1" si="866"/>
        <v>0</v>
      </c>
      <c r="Y287" s="160">
        <f t="shared" ca="1" si="867"/>
        <v>0</v>
      </c>
      <c r="Z287" s="160">
        <f t="shared" ca="1" si="879"/>
        <v>0</v>
      </c>
      <c r="AA287" s="160">
        <f t="shared" ca="1" si="868"/>
        <v>0</v>
      </c>
      <c r="AB287" s="160">
        <f t="shared" ca="1" si="869"/>
        <v>0</v>
      </c>
      <c r="AC287" s="119">
        <f t="shared" ca="1" si="870"/>
        <v>0</v>
      </c>
      <c r="AD287" s="115">
        <f t="shared" ca="1" si="979"/>
        <v>-1.210958904109589</v>
      </c>
      <c r="AE287" s="115">
        <f t="shared" si="980"/>
        <v>20</v>
      </c>
      <c r="AF287" s="115"/>
      <c r="AG287" s="115"/>
      <c r="AH287" s="115">
        <f t="shared" si="755"/>
        <v>6.5150000000000015</v>
      </c>
      <c r="AI287" s="115"/>
      <c r="AJ287" s="115">
        <f t="shared" si="756"/>
        <v>0</v>
      </c>
      <c r="AK287" s="115"/>
      <c r="AL287" s="142"/>
      <c r="AM287" s="153"/>
      <c r="AN287" s="153"/>
      <c r="AO287" s="153"/>
      <c r="AP287" s="153"/>
      <c r="AQ287" s="153"/>
      <c r="AR287" s="153"/>
      <c r="AS287" s="153"/>
      <c r="AT287" s="153"/>
      <c r="AU287" s="153"/>
      <c r="AV287" s="153"/>
      <c r="AW287" s="153"/>
      <c r="AX287" s="153"/>
      <c r="AY287" s="153"/>
      <c r="AZ287" s="153"/>
      <c r="BA287" s="153"/>
      <c r="BB287" s="153"/>
      <c r="BC287" s="153"/>
      <c r="BD287" s="153"/>
      <c r="BE287" s="153"/>
      <c r="BF287" s="153"/>
      <c r="BG287" s="153"/>
      <c r="BS287" s="13">
        <v>2</v>
      </c>
      <c r="BT287" s="123">
        <v>44491</v>
      </c>
      <c r="BU287" s="116" t="s">
        <v>8</v>
      </c>
      <c r="BV287" s="115" t="s">
        <v>482</v>
      </c>
      <c r="BW287" s="116" t="s">
        <v>502</v>
      </c>
      <c r="BX287" s="115">
        <v>18400</v>
      </c>
      <c r="BY287" s="115">
        <v>41.7</v>
      </c>
      <c r="BZ287" s="115">
        <v>47.945</v>
      </c>
      <c r="CA287" s="119">
        <v>-3216.6708800000001</v>
      </c>
      <c r="CB287" s="115">
        <v>1.1497601918465228</v>
      </c>
      <c r="CC287" s="115">
        <v>500</v>
      </c>
      <c r="CD287" s="115">
        <v>50</v>
      </c>
      <c r="CE287" s="119">
        <v>20850</v>
      </c>
    </row>
    <row r="288" spans="1:83" hidden="1">
      <c r="A288" s="13">
        <f t="shared" si="753"/>
        <v>281</v>
      </c>
      <c r="B288" s="123">
        <v>44707</v>
      </c>
      <c r="C288" s="116" t="s">
        <v>8</v>
      </c>
      <c r="D288" s="116">
        <v>1</v>
      </c>
      <c r="E288" s="115" t="s">
        <v>481</v>
      </c>
      <c r="F288" s="116" t="s">
        <v>284</v>
      </c>
      <c r="G288" s="115">
        <v>450</v>
      </c>
      <c r="H288" s="117">
        <v>44742</v>
      </c>
      <c r="I288" s="115">
        <v>1425</v>
      </c>
      <c r="J288" s="115">
        <v>9.5</v>
      </c>
      <c r="K288" s="115">
        <v>0</v>
      </c>
      <c r="L288" s="119">
        <f t="shared" ref="L288" ca="1" si="981">IF(AND(K288&lt;&gt;0,I288&lt;&gt;0),(IF(C288="B",1,-1))*(K288-J288)*I288-AK288*2,0)*$D288*IF(MONTH($B$2)=MONTH($H288),1,0)</f>
        <v>0</v>
      </c>
      <c r="M288" s="119">
        <f t="shared" ref="M288" si="982">IF(AND(K288&lt;&gt;0,I288&lt;&gt;0),(IF(C288="B",1,-1))*(K288-J288)*I288-AK288*2,0)*$D288</f>
        <v>0</v>
      </c>
      <c r="N288" s="115">
        <f t="shared" ref="N288" si="983">K288/$J288</f>
        <v>0</v>
      </c>
      <c r="O288" s="156">
        <f t="shared" ref="O288" si="984">J288*(1+$O$6*IF(C288="B",-1,1))</f>
        <v>11.875</v>
      </c>
      <c r="P288" s="160">
        <f t="shared" si="754"/>
        <v>13537.5</v>
      </c>
      <c r="Q288" s="160" t="e">
        <f t="shared" ref="Q288" si="985">(W288-J288)*I288*IF(C288="B",1,-1)*IF(K288=0,1,0)</f>
        <v>#N/A</v>
      </c>
      <c r="R288" s="153" t="e">
        <f t="shared" ca="1" si="876"/>
        <v>#VALUE!</v>
      </c>
      <c r="S288" s="119">
        <f t="shared" ref="S288" si="986">(1-$S$6)*J288</f>
        <v>0.94999999999999973</v>
      </c>
      <c r="T288" s="115" t="e">
        <f>VLOOKUP(TRIM($F288),Reference!B:C,2,0)</f>
        <v>#VALUE!</v>
      </c>
      <c r="U288" s="170">
        <f t="shared" ref="U288" ca="1" si="987">AC288</f>
        <v>0</v>
      </c>
      <c r="V288" s="120" t="str">
        <f t="shared" si="865"/>
        <v>TATAMOTORS22JUN450CE</v>
      </c>
      <c r="W288" s="158" t="e">
        <f>VLOOKUP($V288,Reference!BA:BD,4,0)</f>
        <v>#N/A</v>
      </c>
      <c r="X288" s="160">
        <f t="shared" ca="1" si="866"/>
        <v>0</v>
      </c>
      <c r="Y288" s="160">
        <f t="shared" ca="1" si="867"/>
        <v>0</v>
      </c>
      <c r="Z288" s="160">
        <f t="shared" ca="1" si="879"/>
        <v>0</v>
      </c>
      <c r="AA288" s="160">
        <f t="shared" ca="1" si="868"/>
        <v>0</v>
      </c>
      <c r="AB288" s="160">
        <f t="shared" ca="1" si="869"/>
        <v>0</v>
      </c>
      <c r="AC288" s="119">
        <f t="shared" ca="1" si="870"/>
        <v>0</v>
      </c>
      <c r="AD288" s="115">
        <f t="shared" ref="AD288" ca="1" si="988">(H288-TODAY())/365</f>
        <v>-1.210958904109589</v>
      </c>
      <c r="AE288" s="115">
        <f t="shared" ref="AE288" si="989">IF(I288&lt;&gt;0,20,0)</f>
        <v>20</v>
      </c>
      <c r="AF288" s="115"/>
      <c r="AG288" s="115"/>
      <c r="AH288" s="115">
        <f t="shared" si="755"/>
        <v>6.7687499999999998</v>
      </c>
      <c r="AI288" s="115"/>
      <c r="AJ288" s="115">
        <f t="shared" si="756"/>
        <v>0</v>
      </c>
      <c r="AK288" s="115"/>
      <c r="AL288" s="142"/>
      <c r="AM288" s="153"/>
      <c r="AN288" s="153"/>
      <c r="AO288" s="153"/>
      <c r="AP288" s="153"/>
      <c r="AQ288" s="153"/>
      <c r="AR288" s="153"/>
      <c r="AS288" s="153"/>
      <c r="AT288" s="153"/>
      <c r="AU288" s="153"/>
      <c r="AV288" s="153"/>
      <c r="AW288" s="153"/>
      <c r="AX288" s="153"/>
      <c r="AY288" s="153"/>
      <c r="AZ288" s="153"/>
      <c r="BA288" s="153"/>
      <c r="BB288" s="153"/>
      <c r="BC288" s="153"/>
      <c r="BD288" s="153"/>
      <c r="BE288" s="153"/>
      <c r="BF288" s="153"/>
      <c r="BG288" s="153"/>
      <c r="BS288" s="13">
        <v>2</v>
      </c>
      <c r="BT288" s="123">
        <v>44491</v>
      </c>
      <c r="BU288" s="116" t="s">
        <v>8</v>
      </c>
      <c r="BV288" s="115" t="s">
        <v>482</v>
      </c>
      <c r="BW288" s="116" t="s">
        <v>502</v>
      </c>
      <c r="BX288" s="115">
        <v>18400</v>
      </c>
      <c r="BY288" s="115">
        <v>41.7</v>
      </c>
      <c r="BZ288" s="115">
        <v>47.945</v>
      </c>
      <c r="CA288" s="119">
        <v>-3216.6708800000001</v>
      </c>
      <c r="CB288" s="115">
        <v>1.1497601918465228</v>
      </c>
      <c r="CC288" s="115">
        <v>500</v>
      </c>
      <c r="CD288" s="115">
        <v>50</v>
      </c>
      <c r="CE288" s="119">
        <v>20850</v>
      </c>
    </row>
    <row r="289" spans="1:83" hidden="1">
      <c r="A289" s="13">
        <f t="shared" si="753"/>
        <v>282</v>
      </c>
      <c r="B289" s="123">
        <v>44707</v>
      </c>
      <c r="C289" s="116" t="s">
        <v>8</v>
      </c>
      <c r="D289" s="116">
        <v>1</v>
      </c>
      <c r="E289" s="115" t="s">
        <v>481</v>
      </c>
      <c r="F289" s="116" t="s">
        <v>506</v>
      </c>
      <c r="G289" s="115">
        <v>37000</v>
      </c>
      <c r="H289" s="117">
        <v>44742</v>
      </c>
      <c r="I289" s="115">
        <v>25</v>
      </c>
      <c r="J289" s="115">
        <v>303.89999999999998</v>
      </c>
      <c r="K289" s="115">
        <v>3.1</v>
      </c>
      <c r="L289" s="119">
        <f t="shared" ref="L289" ca="1" si="990">IF(AND(K289&lt;&gt;0,I289&lt;&gt;0),(IF(C289="B",1,-1))*(K289-J289)*I289-AK289*2,0)*$D289*IF(MONTH($B$2)=MONTH($H289),1,0)</f>
        <v>0</v>
      </c>
      <c r="M289" s="119">
        <f t="shared" ref="M289" si="991">IF(AND(K289&lt;&gt;0,I289&lt;&gt;0),(IF(C289="B",1,-1))*(K289-J289)*I289-AK289*2,0)*$D289</f>
        <v>7519.9999999999991</v>
      </c>
      <c r="N289" s="115">
        <f t="shared" ref="N289" si="992">K289/$J289</f>
        <v>1.0200723922342878E-2</v>
      </c>
      <c r="O289" s="156">
        <f t="shared" ref="O289" si="993">J289*(1+$O$6*IF(C289="B",-1,1))</f>
        <v>379.875</v>
      </c>
      <c r="P289" s="160">
        <f t="shared" si="754"/>
        <v>7597.4999999999991</v>
      </c>
      <c r="Q289" s="160" t="e">
        <f t="shared" ref="Q289" si="994">(W289-J289)*I289*IF(C289="B",1,-1)*IF(K289=0,1,0)</f>
        <v>#N/A</v>
      </c>
      <c r="R289" s="153" t="e">
        <f t="shared" ca="1" si="876"/>
        <v>#VALUE!</v>
      </c>
      <c r="S289" s="119">
        <f t="shared" ref="S289" si="995">(1-$S$6)*J289</f>
        <v>30.38999999999999</v>
      </c>
      <c r="T289" s="115" t="str">
        <f>VLOOKUP(TRIM($F289),Reference!B:C,2,0)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89" s="170">
        <f t="shared" ref="U289" ca="1" si="996">AC289</f>
        <v>0</v>
      </c>
      <c r="V289" s="120" t="str">
        <f t="shared" si="865"/>
        <v>BANKNIFTY22JUN37000CE</v>
      </c>
      <c r="W289" s="158" t="e">
        <f>VLOOKUP($V289,Reference!BA:BD,4,0)</f>
        <v>#N/A</v>
      </c>
      <c r="X289" s="160">
        <f t="shared" ca="1" si="866"/>
        <v>0</v>
      </c>
      <c r="Y289" s="160">
        <f t="shared" ca="1" si="867"/>
        <v>0</v>
      </c>
      <c r="Z289" s="160">
        <f t="shared" ca="1" si="879"/>
        <v>0</v>
      </c>
      <c r="AA289" s="160">
        <f t="shared" ca="1" si="868"/>
        <v>0</v>
      </c>
      <c r="AB289" s="160">
        <f t="shared" ca="1" si="869"/>
        <v>0</v>
      </c>
      <c r="AC289" s="119">
        <f t="shared" ca="1" si="870"/>
        <v>0</v>
      </c>
      <c r="AD289" s="115">
        <f t="shared" ref="AD289" ca="1" si="997">(H289-TODAY())/365</f>
        <v>-1.210958904109589</v>
      </c>
      <c r="AE289" s="115">
        <f t="shared" ref="AE289" si="998">IF(I289&lt;&gt;0,20,0)</f>
        <v>20</v>
      </c>
      <c r="AF289" s="115"/>
      <c r="AG289" s="115"/>
      <c r="AH289" s="115">
        <f t="shared" si="755"/>
        <v>3.7987499999999996</v>
      </c>
      <c r="AI289" s="115"/>
      <c r="AJ289" s="115">
        <f t="shared" si="756"/>
        <v>0</v>
      </c>
      <c r="AK289" s="115"/>
      <c r="AL289" s="142"/>
      <c r="AM289" s="153"/>
      <c r="AN289" s="153"/>
      <c r="AO289" s="153"/>
      <c r="AP289" s="153"/>
      <c r="AQ289" s="153"/>
      <c r="AR289" s="153"/>
      <c r="AS289" s="153"/>
      <c r="AT289" s="153"/>
      <c r="AU289" s="153"/>
      <c r="AV289" s="153"/>
      <c r="AW289" s="153"/>
      <c r="AX289" s="153"/>
      <c r="AY289" s="153"/>
      <c r="AZ289" s="153"/>
      <c r="BA289" s="153"/>
      <c r="BB289" s="153"/>
      <c r="BC289" s="153"/>
      <c r="BD289" s="153"/>
      <c r="BE289" s="153"/>
      <c r="BF289" s="153"/>
      <c r="BG289" s="153"/>
      <c r="BS289" s="13">
        <v>2</v>
      </c>
      <c r="BT289" s="123">
        <v>44491</v>
      </c>
      <c r="BU289" s="116" t="s">
        <v>8</v>
      </c>
      <c r="BV289" s="115" t="s">
        <v>482</v>
      </c>
      <c r="BW289" s="116" t="s">
        <v>502</v>
      </c>
      <c r="BX289" s="115">
        <v>18400</v>
      </c>
      <c r="BY289" s="115">
        <v>41.7</v>
      </c>
      <c r="BZ289" s="115">
        <v>47.945</v>
      </c>
      <c r="CA289" s="119">
        <v>-3216.6708800000001</v>
      </c>
      <c r="CB289" s="115">
        <v>1.1497601918465228</v>
      </c>
      <c r="CC289" s="115">
        <v>500</v>
      </c>
      <c r="CD289" s="115">
        <v>50</v>
      </c>
      <c r="CE289" s="119">
        <v>20850</v>
      </c>
    </row>
    <row r="290" spans="1:83" hidden="1">
      <c r="A290" s="13">
        <f t="shared" si="753"/>
        <v>283</v>
      </c>
      <c r="B290" s="123">
        <v>44707</v>
      </c>
      <c r="C290" s="116" t="s">
        <v>8</v>
      </c>
      <c r="D290" s="116">
        <v>1</v>
      </c>
      <c r="E290" s="115" t="s">
        <v>481</v>
      </c>
      <c r="F290" s="116" t="s">
        <v>506</v>
      </c>
      <c r="G290" s="115">
        <v>37000</v>
      </c>
      <c r="H290" s="117">
        <v>44742</v>
      </c>
      <c r="I290" s="115">
        <v>25</v>
      </c>
      <c r="J290" s="115">
        <v>350</v>
      </c>
      <c r="K290" s="115">
        <v>3.1</v>
      </c>
      <c r="L290" s="119">
        <f t="shared" ref="L290" ca="1" si="999">IF(AND(K290&lt;&gt;0,I290&lt;&gt;0),(IF(C290="B",1,-1))*(K290-J290)*I290-AK290*2,0)*$D290*IF(MONTH($B$2)=MONTH($H290),1,0)</f>
        <v>0</v>
      </c>
      <c r="M290" s="119">
        <f t="shared" ref="M290" si="1000">IF(AND(K290&lt;&gt;0,I290&lt;&gt;0),(IF(C290="B",1,-1))*(K290-J290)*I290-AK290*2,0)*$D290</f>
        <v>8672.5</v>
      </c>
      <c r="N290" s="115">
        <f t="shared" ref="N290" si="1001">K290/$J290</f>
        <v>8.8571428571428568E-3</v>
      </c>
      <c r="O290" s="156">
        <f t="shared" ref="O290" si="1002">J290*(1+$O$6*IF(C290="B",-1,1))</f>
        <v>437.5</v>
      </c>
      <c r="P290" s="160">
        <f t="shared" si="754"/>
        <v>8750</v>
      </c>
      <c r="Q290" s="160" t="e">
        <f t="shared" ref="Q290" si="1003">(W290-J290)*I290*IF(C290="B",1,-1)*IF(K290=0,1,0)</f>
        <v>#N/A</v>
      </c>
      <c r="R290" s="153" t="e">
        <f t="shared" ca="1" si="876"/>
        <v>#VALUE!</v>
      </c>
      <c r="S290" s="119">
        <f t="shared" ref="S290" si="1004">(1-$S$6)*J290</f>
        <v>34.999999999999993</v>
      </c>
      <c r="T290" s="115" t="str">
        <f>VLOOKUP(TRIM($F290),Reference!B:C,2,0)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90" s="170">
        <f t="shared" ref="U290" ca="1" si="1005">AC290</f>
        <v>0</v>
      </c>
      <c r="V290" s="120" t="str">
        <f t="shared" si="865"/>
        <v>BANKNIFTY22JUN37000CE</v>
      </c>
      <c r="W290" s="158" t="e">
        <f>VLOOKUP($V290,Reference!BA:BD,4,0)</f>
        <v>#N/A</v>
      </c>
      <c r="X290" s="160">
        <f t="shared" ca="1" si="866"/>
        <v>0</v>
      </c>
      <c r="Y290" s="160">
        <f t="shared" ca="1" si="867"/>
        <v>0</v>
      </c>
      <c r="Z290" s="160">
        <f t="shared" ca="1" si="879"/>
        <v>0</v>
      </c>
      <c r="AA290" s="160">
        <f t="shared" ca="1" si="868"/>
        <v>0</v>
      </c>
      <c r="AB290" s="160">
        <f t="shared" ca="1" si="869"/>
        <v>0</v>
      </c>
      <c r="AC290" s="119">
        <f t="shared" ca="1" si="870"/>
        <v>0</v>
      </c>
      <c r="AD290" s="115">
        <f t="shared" ref="AD290" ca="1" si="1006">(H290-TODAY())/365</f>
        <v>-1.210958904109589</v>
      </c>
      <c r="AE290" s="115">
        <f t="shared" ref="AE290" si="1007">IF(I290&lt;&gt;0,20,0)</f>
        <v>20</v>
      </c>
      <c r="AF290" s="115"/>
      <c r="AG290" s="115"/>
      <c r="AH290" s="115">
        <f t="shared" si="755"/>
        <v>4.375</v>
      </c>
      <c r="AI290" s="115"/>
      <c r="AJ290" s="115">
        <f t="shared" si="756"/>
        <v>0</v>
      </c>
      <c r="AK290" s="115"/>
      <c r="AL290" s="142"/>
      <c r="AM290" s="153"/>
      <c r="AN290" s="153"/>
      <c r="AO290" s="153"/>
      <c r="AP290" s="153"/>
      <c r="AQ290" s="153"/>
      <c r="AR290" s="153"/>
      <c r="AS290" s="153"/>
      <c r="AT290" s="153"/>
      <c r="AU290" s="153"/>
      <c r="AV290" s="153"/>
      <c r="AW290" s="153"/>
      <c r="AX290" s="153"/>
      <c r="AY290" s="153"/>
      <c r="AZ290" s="153"/>
      <c r="BA290" s="153"/>
      <c r="BB290" s="153"/>
      <c r="BC290" s="153"/>
      <c r="BD290" s="153"/>
      <c r="BE290" s="153"/>
      <c r="BF290" s="153"/>
      <c r="BG290" s="153"/>
      <c r="BS290" s="13">
        <v>2</v>
      </c>
      <c r="BT290" s="123">
        <v>44491</v>
      </c>
      <c r="BU290" s="116" t="s">
        <v>8</v>
      </c>
      <c r="BV290" s="115" t="s">
        <v>482</v>
      </c>
      <c r="BW290" s="116" t="s">
        <v>502</v>
      </c>
      <c r="BX290" s="115">
        <v>18400</v>
      </c>
      <c r="BY290" s="115">
        <v>41.7</v>
      </c>
      <c r="BZ290" s="115">
        <v>47.945</v>
      </c>
      <c r="CA290" s="119">
        <v>-3216.6708800000001</v>
      </c>
      <c r="CB290" s="115">
        <v>1.1497601918465228</v>
      </c>
      <c r="CC290" s="115">
        <v>500</v>
      </c>
      <c r="CD290" s="115">
        <v>50</v>
      </c>
      <c r="CE290" s="119">
        <v>20850</v>
      </c>
    </row>
    <row r="291" spans="1:83" hidden="1">
      <c r="A291" s="13">
        <f t="shared" si="753"/>
        <v>284</v>
      </c>
      <c r="B291" s="123">
        <v>44707</v>
      </c>
      <c r="C291" s="116" t="s">
        <v>8</v>
      </c>
      <c r="D291" s="116">
        <v>1</v>
      </c>
      <c r="E291" s="115" t="s">
        <v>481</v>
      </c>
      <c r="F291" s="116" t="s">
        <v>399</v>
      </c>
      <c r="G291" s="115">
        <v>1660</v>
      </c>
      <c r="H291" s="117">
        <v>44742</v>
      </c>
      <c r="I291" s="115">
        <v>575</v>
      </c>
      <c r="J291" s="115">
        <v>20.7</v>
      </c>
      <c r="K291" s="115">
        <v>42.7</v>
      </c>
      <c r="L291" s="119">
        <f t="shared" ref="L291" ca="1" si="1008">IF(AND(K291&lt;&gt;0,I291&lt;&gt;0),(IF(C291="B",1,-1))*(K291-J291)*I291-AK291*2,0)*$D291*IF(MONTH($B$2)=MONTH($H291),1,0)</f>
        <v>0</v>
      </c>
      <c r="M291" s="119">
        <f t="shared" ref="M291" si="1009">IF(AND(K291&lt;&gt;0,I291&lt;&gt;0),(IF(C291="B",1,-1))*(K291-J291)*I291-AK291*2,0)*$D291</f>
        <v>-12650.000000000002</v>
      </c>
      <c r="N291" s="115">
        <f t="shared" ref="N291" si="1010">K291/$J291</f>
        <v>2.06280193236715</v>
      </c>
      <c r="O291" s="156">
        <f t="shared" ref="O291" si="1011">J291*(1+$O$6*IF(C291="B",-1,1))</f>
        <v>25.875</v>
      </c>
      <c r="P291" s="160">
        <f t="shared" si="754"/>
        <v>11902.5</v>
      </c>
      <c r="Q291" s="160" t="e">
        <f t="shared" ref="Q291" si="1012">(W291-J291)*I291*IF(C291="B",1,-1)*IF(K291=0,1,0)</f>
        <v>#N/A</v>
      </c>
      <c r="R291" s="153" t="e">
        <f t="shared" ca="1" si="876"/>
        <v>#VALUE!</v>
      </c>
      <c r="S291" s="119">
        <f t="shared" ref="S291" si="1013">(1-$S$6)*J291</f>
        <v>2.0699999999999994</v>
      </c>
      <c r="T291" s="115" t="e">
        <f>VLOOKUP(TRIM($F291),Reference!B:C,2,0)</f>
        <v>#VALUE!</v>
      </c>
      <c r="U291" s="170">
        <f t="shared" ref="U291" ca="1" si="1014">AC291</f>
        <v>0</v>
      </c>
      <c r="V291" s="120" t="str">
        <f t="shared" si="865"/>
        <v>LT22JUN1660CE</v>
      </c>
      <c r="W291" s="158" t="e">
        <f>VLOOKUP($V291,Reference!BA:BD,4,0)</f>
        <v>#N/A</v>
      </c>
      <c r="X291" s="160">
        <f t="shared" ca="1" si="866"/>
        <v>0</v>
      </c>
      <c r="Y291" s="160">
        <f t="shared" ca="1" si="867"/>
        <v>0</v>
      </c>
      <c r="Z291" s="160">
        <f t="shared" ca="1" si="879"/>
        <v>0</v>
      </c>
      <c r="AA291" s="160">
        <f t="shared" ca="1" si="868"/>
        <v>0</v>
      </c>
      <c r="AB291" s="160">
        <f t="shared" ca="1" si="869"/>
        <v>0</v>
      </c>
      <c r="AC291" s="119">
        <f t="shared" ca="1" si="870"/>
        <v>0</v>
      </c>
      <c r="AD291" s="115">
        <f t="shared" ref="AD291" ca="1" si="1015">(H291-TODAY())/365</f>
        <v>-1.210958904109589</v>
      </c>
      <c r="AE291" s="115">
        <f t="shared" ref="AE291" si="1016">IF(I291&lt;&gt;0,20,0)</f>
        <v>20</v>
      </c>
      <c r="AF291" s="115"/>
      <c r="AG291" s="115"/>
      <c r="AH291" s="115">
        <f t="shared" si="755"/>
        <v>5.9512499999999999</v>
      </c>
      <c r="AI291" s="115"/>
      <c r="AJ291" s="115">
        <f t="shared" si="756"/>
        <v>0</v>
      </c>
      <c r="AK291" s="115"/>
      <c r="AL291" s="142"/>
      <c r="AM291" s="153"/>
      <c r="AN291" s="153"/>
      <c r="AO291" s="153"/>
      <c r="AP291" s="153"/>
      <c r="AQ291" s="153"/>
      <c r="AR291" s="153"/>
      <c r="AS291" s="153"/>
      <c r="AT291" s="153"/>
      <c r="AU291" s="153"/>
      <c r="AV291" s="153"/>
      <c r="AW291" s="153"/>
      <c r="AX291" s="153"/>
      <c r="AY291" s="153"/>
      <c r="AZ291" s="153"/>
      <c r="BA291" s="153"/>
      <c r="BB291" s="153"/>
      <c r="BC291" s="153"/>
      <c r="BD291" s="153"/>
      <c r="BE291" s="153"/>
      <c r="BF291" s="153"/>
      <c r="BG291" s="153"/>
      <c r="BS291" s="13">
        <v>2</v>
      </c>
      <c r="BT291" s="123">
        <v>44491</v>
      </c>
      <c r="BU291" s="116" t="s">
        <v>8</v>
      </c>
      <c r="BV291" s="115" t="s">
        <v>482</v>
      </c>
      <c r="BW291" s="116" t="s">
        <v>502</v>
      </c>
      <c r="BX291" s="115">
        <v>18400</v>
      </c>
      <c r="BY291" s="115">
        <v>41.7</v>
      </c>
      <c r="BZ291" s="115">
        <v>47.945</v>
      </c>
      <c r="CA291" s="119">
        <v>-3216.6708800000001</v>
      </c>
      <c r="CB291" s="115">
        <v>1.1497601918465228</v>
      </c>
      <c r="CC291" s="115">
        <v>500</v>
      </c>
      <c r="CD291" s="115">
        <v>50</v>
      </c>
      <c r="CE291" s="119">
        <v>20850</v>
      </c>
    </row>
    <row r="292" spans="1:83" hidden="1">
      <c r="A292" s="13">
        <f t="shared" si="753"/>
        <v>285</v>
      </c>
      <c r="B292" s="123">
        <v>44707</v>
      </c>
      <c r="C292" s="116" t="s">
        <v>6</v>
      </c>
      <c r="D292" s="116">
        <v>1</v>
      </c>
      <c r="E292" s="115" t="s">
        <v>632</v>
      </c>
      <c r="F292" s="116" t="s">
        <v>126</v>
      </c>
      <c r="G292" s="115" t="s">
        <v>568</v>
      </c>
      <c r="H292" s="117">
        <v>44770</v>
      </c>
      <c r="I292" s="115">
        <v>3750</v>
      </c>
      <c r="J292" s="115">
        <v>179.05</v>
      </c>
      <c r="K292" s="115">
        <v>181.2</v>
      </c>
      <c r="L292" s="119">
        <f t="shared" ref="L292" ca="1" si="1017">IF(AND(K292&lt;&gt;0,I292&lt;&gt;0),(IF(C292="B",1,-1))*(K292-J292)*I292-AK292*2,0)*$D292*IF(MONTH($B$2)=MONTH($H292),1,0)</f>
        <v>0</v>
      </c>
      <c r="M292" s="119">
        <f t="shared" ref="M292" si="1018">IF(AND(K292&lt;&gt;0,I292&lt;&gt;0),(IF(C292="B",1,-1))*(K292-J292)*I292-AK292*2,0)*$D292</f>
        <v>8062.4999999999145</v>
      </c>
      <c r="N292" s="115">
        <f t="shared" ref="N292" si="1019">K292/$J292</f>
        <v>1.0120078190449593</v>
      </c>
      <c r="O292" s="156">
        <f t="shared" ref="O292" si="1020">J292*(1+$O$6*IF(C292="B",-1,1))</f>
        <v>134.28750000000002</v>
      </c>
      <c r="P292" s="160">
        <f t="shared" si="754"/>
        <v>671437.5</v>
      </c>
      <c r="Q292" s="160">
        <f t="shared" ref="Q292" si="1021">(W292-J292)*I292*IF(C292="B",1,-1)*IF(K292=0,1,0)</f>
        <v>0</v>
      </c>
      <c r="R292" s="153" t="e">
        <f t="shared" ca="1" si="876"/>
        <v>#VALUE!</v>
      </c>
      <c r="S292" s="119">
        <f t="shared" ref="S292" si="1022">(1-$S$6)*J292</f>
        <v>17.904999999999998</v>
      </c>
      <c r="T292" s="115" t="e">
        <f>VLOOKUP(TRIM($F292),Reference!B:C,2,0)</f>
        <v>#VALUE!</v>
      </c>
      <c r="U292" s="170">
        <f t="shared" ref="U292" ca="1" si="1023">AC292</f>
        <v>0</v>
      </c>
      <c r="V292" s="120" t="str">
        <f t="shared" si="865"/>
        <v>IEX22JULFUT</v>
      </c>
      <c r="W292" s="158">
        <f>VLOOKUP($V292,Reference!BA:BD,4,0)</f>
        <v>162.85</v>
      </c>
      <c r="X292" s="160">
        <f t="shared" ca="1" si="866"/>
        <v>0</v>
      </c>
      <c r="Y292" s="160">
        <f t="shared" ca="1" si="867"/>
        <v>0</v>
      </c>
      <c r="Z292" s="160">
        <f t="shared" ca="1" si="879"/>
        <v>0</v>
      </c>
      <c r="AA292" s="160">
        <f t="shared" ca="1" si="868"/>
        <v>0</v>
      </c>
      <c r="AB292" s="160">
        <f t="shared" ca="1" si="869"/>
        <v>0</v>
      </c>
      <c r="AC292" s="119">
        <f t="shared" ca="1" si="870"/>
        <v>0</v>
      </c>
      <c r="AD292" s="115">
        <f t="shared" ref="AD292" ca="1" si="1024">(H292-TODAY())/365</f>
        <v>-1.1342465753424658</v>
      </c>
      <c r="AE292" s="115">
        <f t="shared" ref="AE292" si="1025">IF(I292&lt;&gt;0,20,0)</f>
        <v>20</v>
      </c>
      <c r="AF292" s="115"/>
      <c r="AG292" s="115"/>
      <c r="AH292" s="115">
        <f t="shared" si="755"/>
        <v>0</v>
      </c>
      <c r="AI292" s="115"/>
      <c r="AJ292" s="115">
        <f t="shared" si="756"/>
        <v>20.143125000000001</v>
      </c>
      <c r="AK292" s="115"/>
      <c r="AL292" s="142"/>
      <c r="AM292" s="153"/>
      <c r="AN292" s="153"/>
      <c r="AO292" s="153"/>
      <c r="AP292" s="153"/>
      <c r="AQ292" s="153"/>
      <c r="AR292" s="153"/>
      <c r="AS292" s="153"/>
      <c r="AT292" s="153"/>
      <c r="AU292" s="153"/>
      <c r="AV292" s="153"/>
      <c r="AW292" s="153"/>
      <c r="AX292" s="153"/>
      <c r="AY292" s="153"/>
      <c r="AZ292" s="153"/>
      <c r="BA292" s="153"/>
      <c r="BB292" s="153"/>
      <c r="BC292" s="153"/>
      <c r="BD292" s="153"/>
      <c r="BE292" s="153"/>
      <c r="BF292" s="153"/>
      <c r="BG292" s="153"/>
      <c r="BS292" s="13">
        <v>2</v>
      </c>
      <c r="BT292" s="123">
        <v>44491</v>
      </c>
      <c r="BU292" s="116" t="s">
        <v>8</v>
      </c>
      <c r="BV292" s="115" t="s">
        <v>482</v>
      </c>
      <c r="BW292" s="116" t="s">
        <v>502</v>
      </c>
      <c r="BX292" s="115">
        <v>18400</v>
      </c>
      <c r="BY292" s="115">
        <v>41.7</v>
      </c>
      <c r="BZ292" s="115">
        <v>47.945</v>
      </c>
      <c r="CA292" s="119">
        <v>-3216.6708800000001</v>
      </c>
      <c r="CB292" s="115">
        <v>1.1497601918465228</v>
      </c>
      <c r="CC292" s="115">
        <v>500</v>
      </c>
      <c r="CD292" s="115">
        <v>50</v>
      </c>
      <c r="CE292" s="119">
        <v>20850</v>
      </c>
    </row>
    <row r="293" spans="1:83" hidden="1">
      <c r="A293" s="13">
        <f t="shared" si="753"/>
        <v>286</v>
      </c>
      <c r="B293" s="123">
        <v>44707</v>
      </c>
      <c r="C293" s="116" t="s">
        <v>6</v>
      </c>
      <c r="D293" s="116">
        <v>1</v>
      </c>
      <c r="E293" s="115" t="s">
        <v>632</v>
      </c>
      <c r="F293" s="116" t="s">
        <v>506</v>
      </c>
      <c r="G293" s="115" t="s">
        <v>568</v>
      </c>
      <c r="H293" s="117">
        <v>44770</v>
      </c>
      <c r="I293" s="115">
        <v>25</v>
      </c>
      <c r="J293" s="115">
        <v>34640</v>
      </c>
      <c r="K293" s="115">
        <v>35166.25</v>
      </c>
      <c r="L293" s="119">
        <f t="shared" ref="L293" ca="1" si="1026">IF(AND(K293&lt;&gt;0,I293&lt;&gt;0),(IF(C293="B",1,-1))*(K293-J293)*I293-AK293*2,0)*$D293*IF(MONTH($B$2)=MONTH($H293),1,0)</f>
        <v>0</v>
      </c>
      <c r="M293" s="119">
        <f t="shared" ref="M293" si="1027">IF(AND(K293&lt;&gt;0,I293&lt;&gt;0),(IF(C293="B",1,-1))*(K293-J293)*I293-AK293*2,0)*$D293</f>
        <v>13156.25</v>
      </c>
      <c r="N293" s="115">
        <f t="shared" ref="N293" si="1028">K293/$J293</f>
        <v>1.0151919745958429</v>
      </c>
      <c r="O293" s="156">
        <f t="shared" ref="O293" si="1029">J293*(1+$O$6*IF(C293="B",-1,1))</f>
        <v>25980</v>
      </c>
      <c r="P293" s="160">
        <f t="shared" si="754"/>
        <v>866000</v>
      </c>
      <c r="Q293" s="160" t="e">
        <f t="shared" ref="Q293" si="1030">(W293-J293)*I293*IF(C293="B",1,-1)*IF(K293=0,1,0)</f>
        <v>#N/A</v>
      </c>
      <c r="R293" s="153" t="e">
        <f t="shared" ca="1" si="876"/>
        <v>#VALUE!</v>
      </c>
      <c r="S293" s="119">
        <f t="shared" ref="S293" si="1031">(1-$S$6)*J293</f>
        <v>3463.9999999999991</v>
      </c>
      <c r="T293" s="115" t="str">
        <f>VLOOKUP(TRIM($F293),Reference!B:C,2,0)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93" s="170">
        <f t="shared" ref="U293" ca="1" si="1032">AC293</f>
        <v>0</v>
      </c>
      <c r="V293" s="120" t="str">
        <f t="shared" si="865"/>
        <v>BANKNIFTY22JULFUT</v>
      </c>
      <c r="W293" s="158" t="e">
        <f>VLOOKUP($V293,Reference!BA:BD,4,0)</f>
        <v>#N/A</v>
      </c>
      <c r="X293" s="160">
        <f t="shared" ca="1" si="866"/>
        <v>0</v>
      </c>
      <c r="Y293" s="160">
        <f t="shared" ca="1" si="867"/>
        <v>0</v>
      </c>
      <c r="Z293" s="160">
        <f t="shared" ca="1" si="879"/>
        <v>0</v>
      </c>
      <c r="AA293" s="160">
        <f t="shared" ca="1" si="868"/>
        <v>0</v>
      </c>
      <c r="AB293" s="160">
        <f t="shared" ca="1" si="869"/>
        <v>0</v>
      </c>
      <c r="AC293" s="119">
        <f t="shared" ca="1" si="870"/>
        <v>0</v>
      </c>
      <c r="AD293" s="115">
        <f t="shared" ref="AD293" ca="1" si="1033">(H293-TODAY())/365</f>
        <v>-1.1342465753424658</v>
      </c>
      <c r="AE293" s="115">
        <f t="shared" ref="AE293" si="1034">IF(I293&lt;&gt;0,20,0)</f>
        <v>20</v>
      </c>
      <c r="AF293" s="115"/>
      <c r="AG293" s="115"/>
      <c r="AH293" s="115">
        <f t="shared" si="755"/>
        <v>0</v>
      </c>
      <c r="AI293" s="115"/>
      <c r="AJ293" s="115">
        <f t="shared" si="756"/>
        <v>25.98</v>
      </c>
      <c r="AK293" s="115"/>
      <c r="AL293" s="142"/>
      <c r="AM293" s="153"/>
      <c r="AN293" s="153"/>
      <c r="AO293" s="153"/>
      <c r="AP293" s="153"/>
      <c r="AQ293" s="153"/>
      <c r="AR293" s="153"/>
      <c r="AS293" s="153"/>
      <c r="AT293" s="153"/>
      <c r="AU293" s="153"/>
      <c r="AV293" s="153"/>
      <c r="AW293" s="153"/>
      <c r="AX293" s="153"/>
      <c r="AY293" s="153"/>
      <c r="AZ293" s="153"/>
      <c r="BA293" s="153"/>
      <c r="BB293" s="153"/>
      <c r="BC293" s="153"/>
      <c r="BD293" s="153"/>
      <c r="BE293" s="153"/>
      <c r="BF293" s="153"/>
      <c r="BG293" s="153"/>
      <c r="BS293" s="13">
        <v>2</v>
      </c>
      <c r="BT293" s="123">
        <v>44491</v>
      </c>
      <c r="BU293" s="116" t="s">
        <v>8</v>
      </c>
      <c r="BV293" s="115" t="s">
        <v>482</v>
      </c>
      <c r="BW293" s="116" t="s">
        <v>502</v>
      </c>
      <c r="BX293" s="115">
        <v>18400</v>
      </c>
      <c r="BY293" s="115">
        <v>41.7</v>
      </c>
      <c r="BZ293" s="115">
        <v>47.945</v>
      </c>
      <c r="CA293" s="119">
        <v>-3216.6708800000001</v>
      </c>
      <c r="CB293" s="115">
        <v>1.1497601918465228</v>
      </c>
      <c r="CC293" s="115">
        <v>500</v>
      </c>
      <c r="CD293" s="115">
        <v>50</v>
      </c>
      <c r="CE293" s="119">
        <v>20850</v>
      </c>
    </row>
    <row r="294" spans="1:83" hidden="1">
      <c r="A294" s="13">
        <f t="shared" si="753"/>
        <v>287</v>
      </c>
      <c r="B294" s="123">
        <v>44707</v>
      </c>
      <c r="C294" s="116" t="s">
        <v>6</v>
      </c>
      <c r="D294" s="116">
        <v>1</v>
      </c>
      <c r="E294" s="115" t="s">
        <v>632</v>
      </c>
      <c r="F294" s="116" t="s">
        <v>502</v>
      </c>
      <c r="G294" s="115" t="s">
        <v>568</v>
      </c>
      <c r="H294" s="117">
        <v>44770</v>
      </c>
      <c r="I294" s="115">
        <v>50</v>
      </c>
      <c r="J294" s="115">
        <v>15956.85</v>
      </c>
      <c r="K294" s="115">
        <v>0</v>
      </c>
      <c r="L294" s="119">
        <f t="shared" ref="L294" ca="1" si="1035">IF(AND(K294&lt;&gt;0,I294&lt;&gt;0),(IF(C294="B",1,-1))*(K294-J294)*I294-AK294*2,0)*$D294*IF(MONTH($B$2)=MONTH($H294),1,0)</f>
        <v>0</v>
      </c>
      <c r="M294" s="119">
        <f t="shared" ref="M294" si="1036">IF(AND(K294&lt;&gt;0,I294&lt;&gt;0),(IF(C294="B",1,-1))*(K294-J294)*I294-AK294*2,0)*$D294</f>
        <v>0</v>
      </c>
      <c r="N294" s="115">
        <f t="shared" ref="N294" si="1037">K294/$J294</f>
        <v>0</v>
      </c>
      <c r="O294" s="156">
        <f t="shared" ref="O294" si="1038">J294*(1+$O$6*IF(C294="B",-1,1))</f>
        <v>11967.637500000001</v>
      </c>
      <c r="P294" s="160">
        <f t="shared" si="754"/>
        <v>797842.5</v>
      </c>
      <c r="Q294" s="160">
        <f t="shared" ref="Q294" si="1039">(W294-J294)*I294*IF(C294="B",1,-1)*IF(K294=0,1,0)</f>
        <v>-792.50000000001819</v>
      </c>
      <c r="R294" s="153" t="e">
        <f t="shared" ca="1" si="876"/>
        <v>#VALUE!</v>
      </c>
      <c r="S294" s="119">
        <f t="shared" ref="S294" si="1040">(1-$S$6)*J294</f>
        <v>1595.6849999999997</v>
      </c>
      <c r="T294" s="115" t="str">
        <f>VLOOKUP(TRIM($F294),Reference!B:C,2,0)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94" s="170">
        <f t="shared" ref="U294" ca="1" si="1041">AC294</f>
        <v>0</v>
      </c>
      <c r="V294" s="120" t="str">
        <f t="shared" si="865"/>
        <v>NIFTY22JULFUT</v>
      </c>
      <c r="W294" s="158">
        <f>VLOOKUP($V294,Reference!BA:BD,4,0)</f>
        <v>15941</v>
      </c>
      <c r="X294" s="160">
        <f t="shared" ca="1" si="866"/>
        <v>0</v>
      </c>
      <c r="Y294" s="160">
        <f t="shared" ca="1" si="867"/>
        <v>0</v>
      </c>
      <c r="Z294" s="160">
        <f t="shared" ca="1" si="879"/>
        <v>0</v>
      </c>
      <c r="AA294" s="160">
        <f t="shared" ca="1" si="868"/>
        <v>0</v>
      </c>
      <c r="AB294" s="160">
        <f t="shared" ca="1" si="869"/>
        <v>0</v>
      </c>
      <c r="AC294" s="119">
        <f t="shared" ca="1" si="870"/>
        <v>0</v>
      </c>
      <c r="AD294" s="115">
        <f t="shared" ref="AD294" ca="1" si="1042">(H294-TODAY())/365</f>
        <v>-1.1342465753424658</v>
      </c>
      <c r="AE294" s="115">
        <f t="shared" ref="AE294" si="1043">IF(I294&lt;&gt;0,20,0)</f>
        <v>20</v>
      </c>
      <c r="AF294" s="115"/>
      <c r="AG294" s="115"/>
      <c r="AH294" s="115">
        <f t="shared" si="755"/>
        <v>0</v>
      </c>
      <c r="AI294" s="115"/>
      <c r="AJ294" s="115">
        <f t="shared" si="756"/>
        <v>23.935275000000001</v>
      </c>
      <c r="AK294" s="115"/>
      <c r="AL294" s="142"/>
      <c r="AM294" s="153"/>
      <c r="AN294" s="153"/>
      <c r="AO294" s="153"/>
      <c r="AP294" s="153"/>
      <c r="AQ294" s="153"/>
      <c r="AR294" s="153"/>
      <c r="AS294" s="153"/>
      <c r="AT294" s="153"/>
      <c r="AU294" s="153"/>
      <c r="AV294" s="153"/>
      <c r="AW294" s="153"/>
      <c r="AX294" s="153"/>
      <c r="AY294" s="153"/>
      <c r="AZ294" s="153"/>
      <c r="BA294" s="153"/>
      <c r="BB294" s="153"/>
      <c r="BC294" s="153"/>
      <c r="BD294" s="153"/>
      <c r="BE294" s="153"/>
      <c r="BF294" s="153"/>
      <c r="BG294" s="153"/>
      <c r="BS294" s="13">
        <v>2</v>
      </c>
      <c r="BT294" s="123">
        <v>44491</v>
      </c>
      <c r="BU294" s="116" t="s">
        <v>8</v>
      </c>
      <c r="BV294" s="115" t="s">
        <v>482</v>
      </c>
      <c r="BW294" s="116" t="s">
        <v>502</v>
      </c>
      <c r="BX294" s="115">
        <v>18400</v>
      </c>
      <c r="BY294" s="115">
        <v>41.7</v>
      </c>
      <c r="BZ294" s="115">
        <v>47.945</v>
      </c>
      <c r="CA294" s="119">
        <v>-3216.6708800000001</v>
      </c>
      <c r="CB294" s="115">
        <v>1.1497601918465228</v>
      </c>
      <c r="CC294" s="115">
        <v>500</v>
      </c>
      <c r="CD294" s="115">
        <v>50</v>
      </c>
      <c r="CE294" s="119">
        <v>20850</v>
      </c>
    </row>
    <row r="295" spans="1:83" hidden="1">
      <c r="A295" s="13">
        <f t="shared" si="753"/>
        <v>288</v>
      </c>
      <c r="B295" s="123">
        <v>44707</v>
      </c>
      <c r="C295" s="116" t="s">
        <v>6</v>
      </c>
      <c r="D295" s="116">
        <v>1</v>
      </c>
      <c r="E295" s="115" t="s">
        <v>482</v>
      </c>
      <c r="F295" s="116" t="s">
        <v>502</v>
      </c>
      <c r="G295" s="115">
        <v>15500</v>
      </c>
      <c r="H295" s="117">
        <v>44770</v>
      </c>
      <c r="I295" s="115">
        <v>50</v>
      </c>
      <c r="J295" s="115">
        <v>399.95</v>
      </c>
      <c r="K295" s="115">
        <v>113.85</v>
      </c>
      <c r="L295" s="119">
        <f t="shared" ref="L295:L297" ca="1" si="1044">IF(AND(K295&lt;&gt;0,I295&lt;&gt;0),(IF(C295="B",1,-1))*(K295-J295)*I295-AK295*2,0)*$D295*IF(MONTH($B$2)=MONTH($H295),1,0)</f>
        <v>0</v>
      </c>
      <c r="M295" s="119">
        <f t="shared" ref="M295:M297" si="1045">IF(AND(K295&lt;&gt;0,I295&lt;&gt;0),(IF(C295="B",1,-1))*(K295-J295)*I295-AK295*2,0)*$D295</f>
        <v>-14305.000000000002</v>
      </c>
      <c r="N295" s="115">
        <f t="shared" ref="N295:N297" si="1046">K295/$J295</f>
        <v>0.28466058257282162</v>
      </c>
      <c r="O295" s="156">
        <f t="shared" ref="O295:O297" si="1047">J295*(1+$O$6*IF(C295="B",-1,1))</f>
        <v>299.96249999999998</v>
      </c>
      <c r="P295" s="160">
        <f t="shared" si="754"/>
        <v>19997.5</v>
      </c>
      <c r="Q295" s="160" t="e">
        <f t="shared" ref="Q295:Q297" si="1048">(W295-J295)*I295*IF(C295="B",1,-1)*IF(K295=0,1,0)</f>
        <v>#N/A</v>
      </c>
      <c r="R295" s="153" t="e">
        <f t="shared" ca="1" si="876"/>
        <v>#VALUE!</v>
      </c>
      <c r="S295" s="119">
        <f t="shared" ref="S295:S297" si="1049">(1-$S$6)*J295</f>
        <v>39.99499999999999</v>
      </c>
      <c r="T295" s="115" t="str">
        <f>VLOOKUP(TRIM($F295),Reference!B:C,2,0)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95" s="170">
        <f t="shared" ref="U295:U297" ca="1" si="1050">AC295</f>
        <v>0</v>
      </c>
      <c r="V295" s="120" t="str">
        <f t="shared" si="865"/>
        <v>NIFTY22JUL15500PE</v>
      </c>
      <c r="W295" s="158" t="e">
        <f>VLOOKUP($V295,Reference!BA:BD,4,0)</f>
        <v>#N/A</v>
      </c>
      <c r="X295" s="160">
        <f t="shared" ca="1" si="866"/>
        <v>0</v>
      </c>
      <c r="Y295" s="160">
        <f t="shared" ca="1" si="867"/>
        <v>0</v>
      </c>
      <c r="Z295" s="160">
        <f t="shared" ca="1" si="879"/>
        <v>0</v>
      </c>
      <c r="AA295" s="160">
        <f t="shared" ca="1" si="868"/>
        <v>0</v>
      </c>
      <c r="AB295" s="160">
        <f t="shared" ca="1" si="869"/>
        <v>0</v>
      </c>
      <c r="AC295" s="119">
        <f t="shared" ca="1" si="870"/>
        <v>0</v>
      </c>
      <c r="AD295" s="115">
        <f t="shared" ref="AD295:AD297" ca="1" si="1051">(H295-TODAY())/365</f>
        <v>-1.1342465753424658</v>
      </c>
      <c r="AE295" s="115">
        <f t="shared" ref="AE295:AE297" si="1052">IF(I295&lt;&gt;0,20,0)</f>
        <v>20</v>
      </c>
      <c r="AF295" s="115"/>
      <c r="AG295" s="115"/>
      <c r="AH295" s="115">
        <f t="shared" si="755"/>
        <v>0</v>
      </c>
      <c r="AI295" s="115"/>
      <c r="AJ295" s="115">
        <f t="shared" si="756"/>
        <v>0.59992500000000004</v>
      </c>
      <c r="AK295" s="115"/>
      <c r="AL295" s="142"/>
      <c r="AM295" s="153"/>
      <c r="AN295" s="153"/>
      <c r="AO295" s="153"/>
      <c r="AP295" s="153"/>
      <c r="AQ295" s="153"/>
      <c r="AR295" s="153"/>
      <c r="AS295" s="153"/>
      <c r="AT295" s="153"/>
      <c r="AU295" s="153"/>
      <c r="AV295" s="153"/>
      <c r="AW295" s="153"/>
      <c r="AX295" s="153"/>
      <c r="AY295" s="153"/>
      <c r="AZ295" s="153"/>
      <c r="BA295" s="153"/>
      <c r="BB295" s="153"/>
      <c r="BC295" s="153"/>
      <c r="BD295" s="153"/>
      <c r="BE295" s="153"/>
      <c r="BF295" s="153"/>
      <c r="BG295" s="153"/>
      <c r="BS295" s="13">
        <v>2</v>
      </c>
      <c r="BT295" s="123">
        <v>44491</v>
      </c>
      <c r="BU295" s="116" t="s">
        <v>8</v>
      </c>
      <c r="BV295" s="115" t="s">
        <v>482</v>
      </c>
      <c r="BW295" s="116" t="s">
        <v>502</v>
      </c>
      <c r="BX295" s="115">
        <v>18400</v>
      </c>
      <c r="BY295" s="115">
        <v>41.7</v>
      </c>
      <c r="BZ295" s="115">
        <v>47.945</v>
      </c>
      <c r="CA295" s="119">
        <v>-3216.6708800000001</v>
      </c>
      <c r="CB295" s="115">
        <v>1.1497601918465228</v>
      </c>
      <c r="CC295" s="115">
        <v>500</v>
      </c>
      <c r="CD295" s="115">
        <v>50</v>
      </c>
      <c r="CE295" s="119">
        <v>20850</v>
      </c>
    </row>
    <row r="296" spans="1:83" hidden="1">
      <c r="A296" s="13">
        <f t="shared" si="753"/>
        <v>289</v>
      </c>
      <c r="B296" s="123">
        <v>44707</v>
      </c>
      <c r="C296" s="116" t="s">
        <v>6</v>
      </c>
      <c r="D296" s="116">
        <v>1</v>
      </c>
      <c r="E296" s="115" t="s">
        <v>632</v>
      </c>
      <c r="F296" s="116" t="s">
        <v>130</v>
      </c>
      <c r="G296" s="115" t="s">
        <v>568</v>
      </c>
      <c r="H296" s="117">
        <v>44770</v>
      </c>
      <c r="I296" s="115">
        <v>3375</v>
      </c>
      <c r="J296" s="115">
        <v>214.95</v>
      </c>
      <c r="K296" s="115">
        <v>234.5</v>
      </c>
      <c r="L296" s="119">
        <f t="shared" ca="1" si="1044"/>
        <v>0</v>
      </c>
      <c r="M296" s="119">
        <f t="shared" si="1045"/>
        <v>65981.250000000044</v>
      </c>
      <c r="N296" s="115">
        <f t="shared" si="1046"/>
        <v>1.0909513840428007</v>
      </c>
      <c r="O296" s="156">
        <f t="shared" si="1047"/>
        <v>161.21249999999998</v>
      </c>
      <c r="P296" s="160">
        <f t="shared" si="754"/>
        <v>725456.25</v>
      </c>
      <c r="Q296" s="160">
        <f t="shared" si="1048"/>
        <v>0</v>
      </c>
      <c r="R296" s="153" t="e">
        <f t="shared" ca="1" si="876"/>
        <v>#VALUE!</v>
      </c>
      <c r="S296" s="119">
        <f t="shared" si="1049"/>
        <v>21.494999999999994</v>
      </c>
      <c r="T296" s="115" t="e">
        <f>VLOOKUP(TRIM($F296),Reference!B:C,2,0)</f>
        <v>#VALUE!</v>
      </c>
      <c r="U296" s="170">
        <f t="shared" ca="1" si="1050"/>
        <v>0</v>
      </c>
      <c r="V296" s="120" t="str">
        <f t="shared" si="865"/>
        <v>TATAPOWER22JULFUT</v>
      </c>
      <c r="W296" s="158">
        <f>VLOOKUP($V296,Reference!BA:BD,4,0)</f>
        <v>222.15</v>
      </c>
      <c r="X296" s="160">
        <f t="shared" ca="1" si="866"/>
        <v>0</v>
      </c>
      <c r="Y296" s="160">
        <f t="shared" ca="1" si="867"/>
        <v>0</v>
      </c>
      <c r="Z296" s="160">
        <f t="shared" ca="1" si="879"/>
        <v>0</v>
      </c>
      <c r="AA296" s="160">
        <f t="shared" ca="1" si="868"/>
        <v>0</v>
      </c>
      <c r="AB296" s="160">
        <f t="shared" ca="1" si="869"/>
        <v>0</v>
      </c>
      <c r="AC296" s="119">
        <f t="shared" ca="1" si="870"/>
        <v>0</v>
      </c>
      <c r="AD296" s="115">
        <f t="shared" ca="1" si="1051"/>
        <v>-1.1342465753424658</v>
      </c>
      <c r="AE296" s="115">
        <f t="shared" si="1052"/>
        <v>20</v>
      </c>
      <c r="AF296" s="115"/>
      <c r="AG296" s="115"/>
      <c r="AH296" s="115">
        <f t="shared" si="755"/>
        <v>0</v>
      </c>
      <c r="AI296" s="115"/>
      <c r="AJ296" s="115">
        <f t="shared" si="756"/>
        <v>21.7636875</v>
      </c>
      <c r="AK296" s="115"/>
      <c r="AL296" s="142"/>
      <c r="AM296" s="153"/>
      <c r="AN296" s="153"/>
      <c r="AO296" s="153"/>
      <c r="AP296" s="153"/>
      <c r="AQ296" s="153"/>
      <c r="AR296" s="153"/>
      <c r="AS296" s="153"/>
      <c r="AT296" s="153"/>
      <c r="AU296" s="153"/>
      <c r="AV296" s="153"/>
      <c r="AW296" s="153"/>
      <c r="AX296" s="153"/>
      <c r="AY296" s="153"/>
      <c r="AZ296" s="153"/>
      <c r="BA296" s="153"/>
      <c r="BB296" s="153"/>
      <c r="BC296" s="153"/>
      <c r="BD296" s="153"/>
      <c r="BE296" s="153"/>
      <c r="BF296" s="153"/>
      <c r="BG296" s="153"/>
      <c r="BS296" s="13">
        <v>2</v>
      </c>
      <c r="BT296" s="123">
        <v>44491</v>
      </c>
      <c r="BU296" s="116" t="s">
        <v>8</v>
      </c>
      <c r="BV296" s="115" t="s">
        <v>482</v>
      </c>
      <c r="BW296" s="116" t="s">
        <v>502</v>
      </c>
      <c r="BX296" s="115">
        <v>18400</v>
      </c>
      <c r="BY296" s="115">
        <v>41.7</v>
      </c>
      <c r="BZ296" s="115">
        <v>47.945</v>
      </c>
      <c r="CA296" s="119">
        <v>-3216.6708800000001</v>
      </c>
      <c r="CB296" s="115">
        <v>1.1497601918465228</v>
      </c>
      <c r="CC296" s="115">
        <v>500</v>
      </c>
      <c r="CD296" s="115">
        <v>50</v>
      </c>
      <c r="CE296" s="119">
        <v>20850</v>
      </c>
    </row>
    <row r="297" spans="1:83" hidden="1">
      <c r="A297" s="13">
        <f t="shared" si="753"/>
        <v>290</v>
      </c>
      <c r="B297" s="123">
        <v>44707</v>
      </c>
      <c r="C297" s="116" t="s">
        <v>6</v>
      </c>
      <c r="D297" s="116">
        <v>1</v>
      </c>
      <c r="E297" s="115" t="s">
        <v>482</v>
      </c>
      <c r="F297" s="116" t="s">
        <v>284</v>
      </c>
      <c r="G297" s="115">
        <v>400</v>
      </c>
      <c r="H297" s="117">
        <v>44770</v>
      </c>
      <c r="I297" s="115">
        <v>1425</v>
      </c>
      <c r="J297" s="115">
        <v>22</v>
      </c>
      <c r="K297" s="115">
        <v>9.0500000000000007</v>
      </c>
      <c r="L297" s="119">
        <f t="shared" ca="1" si="1044"/>
        <v>0</v>
      </c>
      <c r="M297" s="119">
        <f t="shared" si="1045"/>
        <v>-18453.75</v>
      </c>
      <c r="N297" s="115">
        <f t="shared" si="1046"/>
        <v>0.41136363636363638</v>
      </c>
      <c r="O297" s="156">
        <f t="shared" si="1047"/>
        <v>16.5</v>
      </c>
      <c r="P297" s="160">
        <f t="shared" si="754"/>
        <v>31350</v>
      </c>
      <c r="Q297" s="160" t="e">
        <f t="shared" si="1048"/>
        <v>#N/A</v>
      </c>
      <c r="R297" s="153" t="e">
        <f t="shared" ca="1" si="876"/>
        <v>#VALUE!</v>
      </c>
      <c r="S297" s="119">
        <f t="shared" si="1049"/>
        <v>2.1999999999999993</v>
      </c>
      <c r="T297" s="115" t="e">
        <f>VLOOKUP(TRIM($F297),Reference!B:C,2,0)</f>
        <v>#VALUE!</v>
      </c>
      <c r="U297" s="170">
        <f t="shared" ca="1" si="1050"/>
        <v>0</v>
      </c>
      <c r="V297" s="120" t="str">
        <f t="shared" si="865"/>
        <v>TATAMOTORS22JUL400PE</v>
      </c>
      <c r="W297" s="158" t="e">
        <f>VLOOKUP($V297,Reference!BA:BD,4,0)</f>
        <v>#N/A</v>
      </c>
      <c r="X297" s="160">
        <f t="shared" ca="1" si="866"/>
        <v>0</v>
      </c>
      <c r="Y297" s="160">
        <f t="shared" ca="1" si="867"/>
        <v>0</v>
      </c>
      <c r="Z297" s="160">
        <f t="shared" ca="1" si="879"/>
        <v>0</v>
      </c>
      <c r="AA297" s="160">
        <f t="shared" ca="1" si="868"/>
        <v>0</v>
      </c>
      <c r="AB297" s="160">
        <f t="shared" ca="1" si="869"/>
        <v>0</v>
      </c>
      <c r="AC297" s="119">
        <f t="shared" ca="1" si="870"/>
        <v>0</v>
      </c>
      <c r="AD297" s="115">
        <f t="shared" ca="1" si="1051"/>
        <v>-1.1342465753424658</v>
      </c>
      <c r="AE297" s="115">
        <f t="shared" si="1052"/>
        <v>20</v>
      </c>
      <c r="AF297" s="115"/>
      <c r="AG297" s="115"/>
      <c r="AH297" s="115">
        <f t="shared" si="755"/>
        <v>0</v>
      </c>
      <c r="AI297" s="115"/>
      <c r="AJ297" s="115">
        <f t="shared" si="756"/>
        <v>0.9405</v>
      </c>
      <c r="AK297" s="115"/>
      <c r="AL297" s="142"/>
      <c r="AM297" s="153"/>
      <c r="AN297" s="153"/>
      <c r="AO297" s="153"/>
      <c r="AP297" s="153"/>
      <c r="AQ297" s="153"/>
      <c r="AR297" s="153"/>
      <c r="AS297" s="153"/>
      <c r="AT297" s="153"/>
      <c r="AU297" s="153"/>
      <c r="AV297" s="153"/>
      <c r="AW297" s="153"/>
      <c r="AX297" s="153"/>
      <c r="AY297" s="153"/>
      <c r="AZ297" s="153"/>
      <c r="BA297" s="153"/>
      <c r="BB297" s="153"/>
      <c r="BC297" s="153"/>
      <c r="BD297" s="153"/>
      <c r="BE297" s="153"/>
      <c r="BF297" s="153"/>
      <c r="BG297" s="153"/>
      <c r="BS297" s="13">
        <v>2</v>
      </c>
      <c r="BT297" s="123">
        <v>44491</v>
      </c>
      <c r="BU297" s="116" t="s">
        <v>8</v>
      </c>
      <c r="BV297" s="115" t="s">
        <v>482</v>
      </c>
      <c r="BW297" s="116" t="s">
        <v>502</v>
      </c>
      <c r="BX297" s="115">
        <v>18400</v>
      </c>
      <c r="BY297" s="115">
        <v>41.7</v>
      </c>
      <c r="BZ297" s="115">
        <v>47.945</v>
      </c>
      <c r="CA297" s="119">
        <v>-3216.6708800000001</v>
      </c>
      <c r="CB297" s="115">
        <v>1.1497601918465228</v>
      </c>
      <c r="CC297" s="115">
        <v>500</v>
      </c>
      <c r="CD297" s="115">
        <v>50</v>
      </c>
      <c r="CE297" s="119">
        <v>20850</v>
      </c>
    </row>
    <row r="298" spans="1:83" hidden="1">
      <c r="A298" s="13">
        <f t="shared" si="753"/>
        <v>291</v>
      </c>
      <c r="B298" s="123">
        <v>44707</v>
      </c>
      <c r="C298" s="116" t="s">
        <v>6</v>
      </c>
      <c r="D298" s="116">
        <v>1</v>
      </c>
      <c r="E298" s="115" t="s">
        <v>482</v>
      </c>
      <c r="F298" s="116" t="s">
        <v>90</v>
      </c>
      <c r="G298" s="115">
        <v>3200</v>
      </c>
      <c r="H298" s="117">
        <v>44770</v>
      </c>
      <c r="I298" s="115">
        <v>150</v>
      </c>
      <c r="J298" s="115">
        <v>123.85</v>
      </c>
      <c r="K298" s="115">
        <v>0</v>
      </c>
      <c r="L298" s="119">
        <f t="shared" ref="L298" ca="1" si="1053">IF(AND(K298&lt;&gt;0,I298&lt;&gt;0),(IF(C298="B",1,-1))*(K298-J298)*I298-AK298*2,0)*$D298*IF(MONTH($B$2)=MONTH($H298),1,0)</f>
        <v>0</v>
      </c>
      <c r="M298" s="119">
        <f t="shared" ref="M298" si="1054">IF(AND(K298&lt;&gt;0,I298&lt;&gt;0),(IF(C298="B",1,-1))*(K298-J298)*I298-AK298*2,0)*$D298</f>
        <v>0</v>
      </c>
      <c r="N298" s="115">
        <f t="shared" ref="N298" si="1055">K298/$J298</f>
        <v>0</v>
      </c>
      <c r="O298" s="156">
        <f t="shared" ref="O298" si="1056">J298*(1+$O$6*IF(C298="B",-1,1))</f>
        <v>92.887499999999989</v>
      </c>
      <c r="P298" s="160">
        <f t="shared" si="754"/>
        <v>18577.5</v>
      </c>
      <c r="Q298" s="160">
        <f t="shared" ref="Q298" si="1057">(W298-J298)*I298*IF(C298="B",1,-1)*IF(K298=0,1,0)</f>
        <v>10882.500000000002</v>
      </c>
      <c r="R298" s="153" t="e">
        <f t="shared" ca="1" si="876"/>
        <v>#VALUE!</v>
      </c>
      <c r="S298" s="119">
        <f t="shared" ref="S298" si="1058">(1-$S$6)*J298</f>
        <v>12.384999999999996</v>
      </c>
      <c r="T298" s="115" t="e">
        <f>VLOOKUP(TRIM($F298),Reference!B:C,2,0)</f>
        <v>#VALUE!</v>
      </c>
      <c r="U298" s="170">
        <f t="shared" ref="U298" ca="1" si="1059">AC298</f>
        <v>0</v>
      </c>
      <c r="V298" s="120" t="str">
        <f t="shared" si="865"/>
        <v>TCS22JUL3200PE</v>
      </c>
      <c r="W298" s="158">
        <f>VLOOKUP($V298,Reference!BA:BD,4,0)</f>
        <v>196.4</v>
      </c>
      <c r="X298" s="160">
        <f t="shared" ca="1" si="866"/>
        <v>0</v>
      </c>
      <c r="Y298" s="160">
        <f t="shared" ca="1" si="867"/>
        <v>0</v>
      </c>
      <c r="Z298" s="160">
        <f t="shared" ca="1" si="879"/>
        <v>0</v>
      </c>
      <c r="AA298" s="160">
        <f t="shared" ca="1" si="868"/>
        <v>0</v>
      </c>
      <c r="AB298" s="160">
        <f t="shared" ca="1" si="869"/>
        <v>0</v>
      </c>
      <c r="AC298" s="119">
        <f t="shared" ca="1" si="870"/>
        <v>0</v>
      </c>
      <c r="AD298" s="115">
        <f t="shared" ref="AD298" ca="1" si="1060">(H298-TODAY())/365</f>
        <v>-1.1342465753424658</v>
      </c>
      <c r="AE298" s="115">
        <f t="shared" ref="AE298" si="1061">IF(I298&lt;&gt;0,20,0)</f>
        <v>20</v>
      </c>
      <c r="AF298" s="115"/>
      <c r="AG298" s="115"/>
      <c r="AH298" s="115">
        <f t="shared" si="755"/>
        <v>0</v>
      </c>
      <c r="AI298" s="115"/>
      <c r="AJ298" s="115">
        <f t="shared" si="756"/>
        <v>0.55732499999999996</v>
      </c>
      <c r="AK298" s="115"/>
      <c r="AL298" s="142"/>
      <c r="AM298" s="153"/>
      <c r="AN298" s="153"/>
      <c r="AO298" s="153"/>
      <c r="AP298" s="153"/>
      <c r="AQ298" s="153"/>
      <c r="AR298" s="153"/>
      <c r="AS298" s="153"/>
      <c r="AT298" s="153"/>
      <c r="AU298" s="153"/>
      <c r="AV298" s="153"/>
      <c r="AW298" s="153"/>
      <c r="AX298" s="153"/>
      <c r="AY298" s="153"/>
      <c r="AZ298" s="153"/>
      <c r="BA298" s="153"/>
      <c r="BB298" s="153"/>
      <c r="BC298" s="153"/>
      <c r="BD298" s="153"/>
      <c r="BE298" s="153"/>
      <c r="BF298" s="153"/>
      <c r="BG298" s="153"/>
      <c r="BS298" s="13">
        <v>2</v>
      </c>
      <c r="BT298" s="123">
        <v>44491</v>
      </c>
      <c r="BU298" s="116" t="s">
        <v>8</v>
      </c>
      <c r="BV298" s="115" t="s">
        <v>482</v>
      </c>
      <c r="BW298" s="116" t="s">
        <v>502</v>
      </c>
      <c r="BX298" s="115">
        <v>18400</v>
      </c>
      <c r="BY298" s="115">
        <v>41.7</v>
      </c>
      <c r="BZ298" s="115">
        <v>47.945</v>
      </c>
      <c r="CA298" s="119">
        <v>-3216.6708800000001</v>
      </c>
      <c r="CB298" s="115">
        <v>1.1497601918465228</v>
      </c>
      <c r="CC298" s="115">
        <v>500</v>
      </c>
      <c r="CD298" s="115">
        <v>50</v>
      </c>
      <c r="CE298" s="119">
        <v>20850</v>
      </c>
    </row>
    <row r="299" spans="1:83" hidden="1">
      <c r="A299" s="13">
        <f t="shared" si="753"/>
        <v>292</v>
      </c>
      <c r="B299" s="123">
        <v>44708</v>
      </c>
      <c r="C299" s="116" t="s">
        <v>6</v>
      </c>
      <c r="D299" s="116">
        <v>1</v>
      </c>
      <c r="E299" s="115" t="s">
        <v>482</v>
      </c>
      <c r="F299" s="116" t="s">
        <v>126</v>
      </c>
      <c r="G299" s="115">
        <v>170</v>
      </c>
      <c r="H299" s="117">
        <v>44742</v>
      </c>
      <c r="I299" s="115">
        <v>3750</v>
      </c>
      <c r="J299" s="115">
        <v>4.45</v>
      </c>
      <c r="K299" s="115">
        <v>1.1000000000000001</v>
      </c>
      <c r="L299" s="119">
        <f t="shared" ref="L299" ca="1" si="1062">IF(AND(K299&lt;&gt;0,I299&lt;&gt;0),(IF(C299="B",1,-1))*(K299-J299)*I299-AK299*2,0)*$D299*IF(MONTH($B$2)=MONTH($H299),1,0)</f>
        <v>0</v>
      </c>
      <c r="M299" s="119">
        <f t="shared" ref="M299" si="1063">IF(AND(K299&lt;&gt;0,I299&lt;&gt;0),(IF(C299="B",1,-1))*(K299-J299)*I299-AK299*2,0)*$D299</f>
        <v>-12562.5</v>
      </c>
      <c r="N299" s="115">
        <f t="shared" ref="N299" si="1064">K299/$J299</f>
        <v>0.24719101123595508</v>
      </c>
      <c r="O299" s="156">
        <f t="shared" ref="O299" si="1065">J299*(1+$O$6*IF(C299="B",-1,1))</f>
        <v>3.3375000000000004</v>
      </c>
      <c r="P299" s="160">
        <f t="shared" si="754"/>
        <v>16687.5</v>
      </c>
      <c r="Q299" s="160" t="e">
        <f t="shared" ref="Q299" si="1066">(W299-J299)*I299*IF(C299="B",1,-1)*IF(K299=0,1,0)</f>
        <v>#N/A</v>
      </c>
      <c r="R299" s="153" t="e">
        <f t="shared" ca="1" si="876"/>
        <v>#VALUE!</v>
      </c>
      <c r="S299" s="119">
        <f t="shared" ref="S299" si="1067">(1-$S$6)*J299</f>
        <v>0.4449999999999999</v>
      </c>
      <c r="T299" s="115" t="e">
        <f>VLOOKUP(TRIM($F299),Reference!B:C,2,0)</f>
        <v>#VALUE!</v>
      </c>
      <c r="U299" s="170">
        <f t="shared" ref="U299" ca="1" si="1068">AC299</f>
        <v>0</v>
      </c>
      <c r="V299" s="120" t="str">
        <f t="shared" si="865"/>
        <v>IEX22JUN170PE</v>
      </c>
      <c r="W299" s="158" t="e">
        <f>VLOOKUP($V299,Reference!BA:BD,4,0)</f>
        <v>#N/A</v>
      </c>
      <c r="X299" s="160">
        <f t="shared" ca="1" si="866"/>
        <v>0</v>
      </c>
      <c r="Y299" s="160">
        <f t="shared" ca="1" si="867"/>
        <v>0</v>
      </c>
      <c r="Z299" s="160">
        <f t="shared" ca="1" si="879"/>
        <v>0</v>
      </c>
      <c r="AA299" s="160">
        <f t="shared" ca="1" si="868"/>
        <v>0</v>
      </c>
      <c r="AB299" s="160">
        <f t="shared" ca="1" si="869"/>
        <v>0</v>
      </c>
      <c r="AC299" s="119">
        <f t="shared" ca="1" si="870"/>
        <v>0</v>
      </c>
      <c r="AD299" s="115">
        <f t="shared" ref="AD299" ca="1" si="1069">(H299-TODAY())/365</f>
        <v>-1.210958904109589</v>
      </c>
      <c r="AE299" s="115">
        <f t="shared" ref="AE299" si="1070">IF(I299&lt;&gt;0,20,0)</f>
        <v>20</v>
      </c>
      <c r="AF299" s="115"/>
      <c r="AG299" s="115"/>
      <c r="AH299" s="115">
        <f t="shared" si="755"/>
        <v>0</v>
      </c>
      <c r="AI299" s="115"/>
      <c r="AJ299" s="115">
        <f t="shared" si="756"/>
        <v>0.50062499999999999</v>
      </c>
      <c r="AK299" s="115"/>
      <c r="AL299" s="142"/>
      <c r="AM299" s="153"/>
      <c r="AN299" s="153"/>
      <c r="AO299" s="153"/>
      <c r="AP299" s="153"/>
      <c r="AQ299" s="153"/>
      <c r="AR299" s="153"/>
      <c r="AS299" s="153"/>
      <c r="AT299" s="153"/>
      <c r="AU299" s="153"/>
      <c r="AV299" s="153"/>
      <c r="AW299" s="153"/>
      <c r="AX299" s="153"/>
      <c r="AY299" s="153"/>
      <c r="AZ299" s="153"/>
      <c r="BA299" s="153"/>
      <c r="BB299" s="153"/>
      <c r="BC299" s="153"/>
      <c r="BD299" s="153"/>
      <c r="BE299" s="153"/>
      <c r="BF299" s="153"/>
      <c r="BG299" s="153"/>
      <c r="BS299" s="13">
        <v>2</v>
      </c>
      <c r="BT299" s="123">
        <v>44491</v>
      </c>
      <c r="BU299" s="116" t="s">
        <v>8</v>
      </c>
      <c r="BV299" s="115" t="s">
        <v>482</v>
      </c>
      <c r="BW299" s="116" t="s">
        <v>502</v>
      </c>
      <c r="BX299" s="115">
        <v>18400</v>
      </c>
      <c r="BY299" s="115">
        <v>41.7</v>
      </c>
      <c r="BZ299" s="115">
        <v>47.945</v>
      </c>
      <c r="CA299" s="119">
        <v>-3216.6708800000001</v>
      </c>
      <c r="CB299" s="115">
        <v>1.1497601918465228</v>
      </c>
      <c r="CC299" s="115">
        <v>500</v>
      </c>
      <c r="CD299" s="115">
        <v>50</v>
      </c>
      <c r="CE299" s="119">
        <v>20850</v>
      </c>
    </row>
    <row r="300" spans="1:83" hidden="1">
      <c r="A300" s="13">
        <f t="shared" si="753"/>
        <v>293</v>
      </c>
      <c r="B300" s="123">
        <v>44708</v>
      </c>
      <c r="C300" s="116" t="s">
        <v>8</v>
      </c>
      <c r="D300" s="116">
        <v>1</v>
      </c>
      <c r="E300" s="115" t="s">
        <v>481</v>
      </c>
      <c r="F300" s="116" t="s">
        <v>126</v>
      </c>
      <c r="G300" s="115">
        <v>190</v>
      </c>
      <c r="H300" s="117">
        <v>44742</v>
      </c>
      <c r="I300" s="115">
        <v>3750</v>
      </c>
      <c r="J300" s="115">
        <v>7.2</v>
      </c>
      <c r="K300" s="115">
        <v>0</v>
      </c>
      <c r="L300" s="119">
        <f t="shared" ref="L300" ca="1" si="1071">IF(AND(K300&lt;&gt;0,I300&lt;&gt;0),(IF(C300="B",1,-1))*(K300-J300)*I300-AK300*2,0)*$D300*IF(MONTH($B$2)=MONTH($H300),1,0)</f>
        <v>0</v>
      </c>
      <c r="M300" s="119">
        <f t="shared" ref="M300" si="1072">IF(AND(K300&lt;&gt;0,I300&lt;&gt;0),(IF(C300="B",1,-1))*(K300-J300)*I300-AK300*2,0)*$D300</f>
        <v>0</v>
      </c>
      <c r="N300" s="115">
        <f t="shared" ref="N300" si="1073">K300/$J300</f>
        <v>0</v>
      </c>
      <c r="O300" s="156">
        <f t="shared" ref="O300" si="1074">J300*(1+$O$6*IF(C300="B",-1,1))</f>
        <v>9</v>
      </c>
      <c r="P300" s="160">
        <f t="shared" si="754"/>
        <v>27000</v>
      </c>
      <c r="Q300" s="160" t="e">
        <f t="shared" ref="Q300" si="1075">(W300-J300)*I300*IF(C300="B",1,-1)*IF(K300=0,1,0)</f>
        <v>#N/A</v>
      </c>
      <c r="R300" s="153" t="e">
        <f t="shared" ca="1" si="876"/>
        <v>#VALUE!</v>
      </c>
      <c r="S300" s="119">
        <f t="shared" ref="S300" si="1076">(1-$S$6)*J300</f>
        <v>0.71999999999999986</v>
      </c>
      <c r="T300" s="115" t="e">
        <f>VLOOKUP(TRIM($F300),Reference!B:C,2,0)</f>
        <v>#VALUE!</v>
      </c>
      <c r="U300" s="170">
        <f t="shared" ref="U300" ca="1" si="1077">AC300</f>
        <v>0</v>
      </c>
      <c r="V300" s="120" t="str">
        <f t="shared" si="865"/>
        <v>IEX22JUN190CE</v>
      </c>
      <c r="W300" s="158" t="e">
        <f>VLOOKUP($V300,Reference!BA:BD,4,0)</f>
        <v>#N/A</v>
      </c>
      <c r="X300" s="160">
        <f t="shared" ca="1" si="866"/>
        <v>0</v>
      </c>
      <c r="Y300" s="160">
        <f t="shared" ca="1" si="867"/>
        <v>0</v>
      </c>
      <c r="Z300" s="160">
        <f t="shared" ca="1" si="879"/>
        <v>0</v>
      </c>
      <c r="AA300" s="160">
        <f t="shared" ca="1" si="868"/>
        <v>0</v>
      </c>
      <c r="AB300" s="160">
        <f t="shared" ca="1" si="869"/>
        <v>0</v>
      </c>
      <c r="AC300" s="119">
        <f t="shared" ca="1" si="870"/>
        <v>0</v>
      </c>
      <c r="AD300" s="115">
        <f t="shared" ref="AD300" ca="1" si="1078">(H300-TODAY())/365</f>
        <v>-1.210958904109589</v>
      </c>
      <c r="AE300" s="115">
        <f t="shared" ref="AE300" si="1079">IF(I300&lt;&gt;0,20,0)</f>
        <v>20</v>
      </c>
      <c r="AF300" s="115"/>
      <c r="AG300" s="115"/>
      <c r="AH300" s="115">
        <f t="shared" si="755"/>
        <v>13.5</v>
      </c>
      <c r="AI300" s="115"/>
      <c r="AJ300" s="115">
        <f t="shared" si="756"/>
        <v>0</v>
      </c>
      <c r="AK300" s="115"/>
      <c r="AL300" s="142"/>
      <c r="AM300" s="153"/>
      <c r="AN300" s="153"/>
      <c r="AO300" s="153"/>
      <c r="AP300" s="153"/>
      <c r="AQ300" s="153"/>
      <c r="AR300" s="153"/>
      <c r="AS300" s="153"/>
      <c r="AT300" s="153"/>
      <c r="AU300" s="153"/>
      <c r="AV300" s="153"/>
      <c r="AW300" s="153"/>
      <c r="AX300" s="153"/>
      <c r="AY300" s="153"/>
      <c r="AZ300" s="153"/>
      <c r="BA300" s="153"/>
      <c r="BB300" s="153"/>
      <c r="BC300" s="153"/>
      <c r="BD300" s="153"/>
      <c r="BE300" s="153"/>
      <c r="BF300" s="153"/>
      <c r="BG300" s="153"/>
      <c r="BS300" s="13">
        <v>2</v>
      </c>
      <c r="BT300" s="123">
        <v>44491</v>
      </c>
      <c r="BU300" s="116" t="s">
        <v>8</v>
      </c>
      <c r="BV300" s="115" t="s">
        <v>482</v>
      </c>
      <c r="BW300" s="116" t="s">
        <v>502</v>
      </c>
      <c r="BX300" s="115">
        <v>18400</v>
      </c>
      <c r="BY300" s="115">
        <v>41.7</v>
      </c>
      <c r="BZ300" s="115">
        <v>47.945</v>
      </c>
      <c r="CA300" s="119">
        <v>-3216.6708800000001</v>
      </c>
      <c r="CB300" s="115">
        <v>1.1497601918465228</v>
      </c>
      <c r="CC300" s="115">
        <v>500</v>
      </c>
      <c r="CD300" s="115">
        <v>50</v>
      </c>
      <c r="CE300" s="119">
        <v>20850</v>
      </c>
    </row>
    <row r="301" spans="1:83" hidden="1">
      <c r="A301" s="13">
        <f t="shared" si="753"/>
        <v>294</v>
      </c>
      <c r="B301" s="123">
        <v>44708</v>
      </c>
      <c r="C301" s="116" t="s">
        <v>6</v>
      </c>
      <c r="D301" s="116">
        <v>1</v>
      </c>
      <c r="E301" s="115" t="s">
        <v>482</v>
      </c>
      <c r="F301" s="116" t="s">
        <v>390</v>
      </c>
      <c r="G301" s="115">
        <v>2300</v>
      </c>
      <c r="H301" s="117">
        <v>44742</v>
      </c>
      <c r="I301" s="115">
        <v>375</v>
      </c>
      <c r="J301" s="115">
        <v>90.2</v>
      </c>
      <c r="K301" s="115">
        <v>28</v>
      </c>
      <c r="L301" s="119">
        <f t="shared" ref="L301" ca="1" si="1080">IF(AND(K301&lt;&gt;0,I301&lt;&gt;0),(IF(C301="B",1,-1))*(K301-J301)*I301-AK301*2,0)*$D301*IF(MONTH($B$2)=MONTH($H301),1,0)</f>
        <v>0</v>
      </c>
      <c r="M301" s="119">
        <f t="shared" ref="M301" si="1081">IF(AND(K301&lt;&gt;0,I301&lt;&gt;0),(IF(C301="B",1,-1))*(K301-J301)*I301-AK301*2,0)*$D301</f>
        <v>-23325</v>
      </c>
      <c r="N301" s="115">
        <f t="shared" ref="N301" si="1082">K301/$J301</f>
        <v>0.31042128603104213</v>
      </c>
      <c r="O301" s="156">
        <f t="shared" ref="O301" si="1083">J301*(1+$O$6*IF(C301="B",-1,1))</f>
        <v>67.650000000000006</v>
      </c>
      <c r="P301" s="160">
        <f t="shared" si="754"/>
        <v>33825</v>
      </c>
      <c r="Q301" s="160" t="e">
        <f t="shared" ref="Q301" si="1084">(W301-J301)*I301*IF(C301="B",1,-1)*IF(K301=0,1,0)</f>
        <v>#N/A</v>
      </c>
      <c r="R301" s="153" t="e">
        <f t="shared" ca="1" si="876"/>
        <v>#VALUE!</v>
      </c>
      <c r="S301" s="119">
        <f t="shared" ref="S301" si="1085">(1-$S$6)*J301</f>
        <v>9.0199999999999978</v>
      </c>
      <c r="T301" s="115" t="e">
        <f>VLOOKUP(TRIM($F301),Reference!B:C,2,0)</f>
        <v>#VALUE!</v>
      </c>
      <c r="U301" s="170">
        <f t="shared" ref="U301" ca="1" si="1086">AC301</f>
        <v>0</v>
      </c>
      <c r="V301" s="120" t="str">
        <f t="shared" si="865"/>
        <v>SRF22JUN2300PE</v>
      </c>
      <c r="W301" s="158" t="e">
        <f>VLOOKUP($V301,Reference!BA:BD,4,0)</f>
        <v>#N/A</v>
      </c>
      <c r="X301" s="160">
        <f t="shared" ca="1" si="866"/>
        <v>0</v>
      </c>
      <c r="Y301" s="160">
        <f t="shared" ca="1" si="867"/>
        <v>0</v>
      </c>
      <c r="Z301" s="160">
        <f t="shared" ca="1" si="879"/>
        <v>0</v>
      </c>
      <c r="AA301" s="160">
        <f t="shared" ca="1" si="868"/>
        <v>0</v>
      </c>
      <c r="AB301" s="160">
        <f t="shared" ca="1" si="869"/>
        <v>0</v>
      </c>
      <c r="AC301" s="119">
        <f t="shared" ca="1" si="870"/>
        <v>0</v>
      </c>
      <c r="AD301" s="115">
        <f t="shared" ref="AD301" ca="1" si="1087">(H301-TODAY())/365</f>
        <v>-1.210958904109589</v>
      </c>
      <c r="AE301" s="115">
        <f t="shared" ref="AE301" si="1088">IF(I301&lt;&gt;0,20,0)</f>
        <v>20</v>
      </c>
      <c r="AF301" s="115"/>
      <c r="AG301" s="115"/>
      <c r="AH301" s="115">
        <f t="shared" si="755"/>
        <v>0</v>
      </c>
      <c r="AI301" s="115"/>
      <c r="AJ301" s="115">
        <f t="shared" si="756"/>
        <v>1.01475</v>
      </c>
      <c r="AK301" s="115"/>
      <c r="AL301" s="142"/>
      <c r="AM301" s="153"/>
      <c r="AN301" s="153"/>
      <c r="AO301" s="153"/>
      <c r="AP301" s="153"/>
      <c r="AQ301" s="153"/>
      <c r="AR301" s="153"/>
      <c r="AS301" s="153"/>
      <c r="AT301" s="153"/>
      <c r="AU301" s="153"/>
      <c r="AV301" s="153"/>
      <c r="AW301" s="153"/>
      <c r="AX301" s="153"/>
      <c r="AY301" s="153"/>
      <c r="AZ301" s="153"/>
      <c r="BA301" s="153"/>
      <c r="BB301" s="153"/>
      <c r="BC301" s="153"/>
      <c r="BD301" s="153"/>
      <c r="BE301" s="153"/>
      <c r="BF301" s="153"/>
      <c r="BG301" s="153"/>
      <c r="BS301" s="13">
        <v>2</v>
      </c>
      <c r="BT301" s="123">
        <v>44491</v>
      </c>
      <c r="BU301" s="116" t="s">
        <v>8</v>
      </c>
      <c r="BV301" s="115" t="s">
        <v>482</v>
      </c>
      <c r="BW301" s="116" t="s">
        <v>502</v>
      </c>
      <c r="BX301" s="115">
        <v>18400</v>
      </c>
      <c r="BY301" s="115">
        <v>41.7</v>
      </c>
      <c r="BZ301" s="115">
        <v>47.945</v>
      </c>
      <c r="CA301" s="119">
        <v>-3216.6708800000001</v>
      </c>
      <c r="CB301" s="115">
        <v>1.1497601918465228</v>
      </c>
      <c r="CC301" s="115">
        <v>500</v>
      </c>
      <c r="CD301" s="115">
        <v>50</v>
      </c>
      <c r="CE301" s="119">
        <v>20850</v>
      </c>
    </row>
    <row r="302" spans="1:83" hidden="1">
      <c r="A302" s="13">
        <f t="shared" si="753"/>
        <v>295</v>
      </c>
      <c r="B302" s="123">
        <v>44708</v>
      </c>
      <c r="C302" s="116" t="s">
        <v>6</v>
      </c>
      <c r="D302" s="116">
        <v>1</v>
      </c>
      <c r="E302" s="115" t="s">
        <v>482</v>
      </c>
      <c r="F302" s="116" t="s">
        <v>506</v>
      </c>
      <c r="G302" s="115">
        <v>34000</v>
      </c>
      <c r="H302" s="117">
        <v>44770</v>
      </c>
      <c r="I302" s="115">
        <v>50</v>
      </c>
      <c r="J302" s="115">
        <v>810.1</v>
      </c>
      <c r="K302" s="115">
        <v>0</v>
      </c>
      <c r="L302" s="119">
        <f t="shared" ref="L302" ca="1" si="1089">IF(AND(K302&lt;&gt;0,I302&lt;&gt;0),(IF(C302="B",1,-1))*(K302-J302)*I302-AK302*2,0)*$D302*IF(MONTH($B$2)=MONTH($H302),1,0)</f>
        <v>0</v>
      </c>
      <c r="M302" s="119">
        <f t="shared" ref="M302" si="1090">IF(AND(K302&lt;&gt;0,I302&lt;&gt;0),(IF(C302="B",1,-1))*(K302-J302)*I302-AK302*2,0)*$D302</f>
        <v>0</v>
      </c>
      <c r="N302" s="115">
        <f t="shared" ref="N302" si="1091">K302/$J302</f>
        <v>0</v>
      </c>
      <c r="O302" s="156">
        <f t="shared" ref="O302" si="1092">J302*(1+$O$6*IF(C302="B",-1,1))</f>
        <v>607.57500000000005</v>
      </c>
      <c r="P302" s="160">
        <f t="shared" si="754"/>
        <v>40505</v>
      </c>
      <c r="Q302" s="160">
        <f t="shared" ref="Q302" si="1093">(W302-J302)*I302*IF(C302="B",1,-1)*IF(K302=0,1,0)</f>
        <v>-26705</v>
      </c>
      <c r="R302" s="153" t="e">
        <f t="shared" ca="1" si="876"/>
        <v>#VALUE!</v>
      </c>
      <c r="S302" s="119">
        <f t="shared" ref="S302" si="1094">(1-$S$6)*J302</f>
        <v>81.009999999999991</v>
      </c>
      <c r="T302" s="115" t="str">
        <f>VLOOKUP(TRIM($F302),Reference!B:C,2,0)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02" s="170">
        <f t="shared" ref="U302" ca="1" si="1095">AC302</f>
        <v>0</v>
      </c>
      <c r="V302" s="120" t="str">
        <f t="shared" si="865"/>
        <v>BANKNIFTY22JUL34000PE</v>
      </c>
      <c r="W302" s="158">
        <f>VLOOKUP($V302,Reference!BA:BD,4,0)</f>
        <v>276</v>
      </c>
      <c r="X302" s="160">
        <f t="shared" ca="1" si="866"/>
        <v>0</v>
      </c>
      <c r="Y302" s="160">
        <f t="shared" ca="1" si="867"/>
        <v>0</v>
      </c>
      <c r="Z302" s="160">
        <f t="shared" ca="1" si="879"/>
        <v>0</v>
      </c>
      <c r="AA302" s="160">
        <f t="shared" ca="1" si="868"/>
        <v>0</v>
      </c>
      <c r="AB302" s="160">
        <f t="shared" ca="1" si="869"/>
        <v>0</v>
      </c>
      <c r="AC302" s="119">
        <f t="shared" ca="1" si="870"/>
        <v>0</v>
      </c>
      <c r="AD302" s="115">
        <f t="shared" ref="AD302" ca="1" si="1096">(H302-TODAY())/365</f>
        <v>-1.1342465753424658</v>
      </c>
      <c r="AE302" s="115">
        <f t="shared" ref="AE302" si="1097">IF(I302&lt;&gt;0,20,0)</f>
        <v>20</v>
      </c>
      <c r="AF302" s="115"/>
      <c r="AG302" s="115"/>
      <c r="AH302" s="115">
        <f t="shared" si="755"/>
        <v>0</v>
      </c>
      <c r="AI302" s="115"/>
      <c r="AJ302" s="115">
        <f t="shared" si="756"/>
        <v>1.21515</v>
      </c>
      <c r="AK302" s="115"/>
      <c r="AL302" s="142"/>
      <c r="AM302" s="153"/>
      <c r="AN302" s="153"/>
      <c r="AO302" s="153"/>
      <c r="AP302" s="153"/>
      <c r="AQ302" s="153"/>
      <c r="AR302" s="153"/>
      <c r="AS302" s="153"/>
      <c r="AT302" s="153"/>
      <c r="AU302" s="153"/>
      <c r="AV302" s="153"/>
      <c r="AW302" s="153"/>
      <c r="AX302" s="153"/>
      <c r="AY302" s="153"/>
      <c r="AZ302" s="153"/>
      <c r="BA302" s="153"/>
      <c r="BB302" s="153"/>
      <c r="BC302" s="153"/>
      <c r="BD302" s="153"/>
      <c r="BE302" s="153"/>
      <c r="BF302" s="153"/>
      <c r="BG302" s="153"/>
      <c r="BS302" s="13">
        <v>2</v>
      </c>
      <c r="BT302" s="123">
        <v>44491</v>
      </c>
      <c r="BU302" s="116" t="s">
        <v>8</v>
      </c>
      <c r="BV302" s="115" t="s">
        <v>482</v>
      </c>
      <c r="BW302" s="116" t="s">
        <v>502</v>
      </c>
      <c r="BX302" s="115">
        <v>18400</v>
      </c>
      <c r="BY302" s="115">
        <v>41.7</v>
      </c>
      <c r="BZ302" s="115">
        <v>47.945</v>
      </c>
      <c r="CA302" s="119">
        <v>-3216.6708800000001</v>
      </c>
      <c r="CB302" s="115">
        <v>1.1497601918465228</v>
      </c>
      <c r="CC302" s="115">
        <v>500</v>
      </c>
      <c r="CD302" s="115">
        <v>50</v>
      </c>
      <c r="CE302" s="119">
        <v>20850</v>
      </c>
    </row>
    <row r="303" spans="1:83" hidden="1">
      <c r="A303" s="13">
        <f t="shared" si="753"/>
        <v>296</v>
      </c>
      <c r="B303" s="123">
        <v>44708</v>
      </c>
      <c r="C303" s="116" t="s">
        <v>8</v>
      </c>
      <c r="D303" s="116">
        <v>1</v>
      </c>
      <c r="E303" s="115" t="s">
        <v>481</v>
      </c>
      <c r="F303" s="116" t="s">
        <v>506</v>
      </c>
      <c r="G303" s="115">
        <v>37000</v>
      </c>
      <c r="H303" s="117">
        <v>44770</v>
      </c>
      <c r="I303" s="115">
        <v>50</v>
      </c>
      <c r="J303" s="115">
        <v>762.3</v>
      </c>
      <c r="K303" s="115">
        <v>71.400000000000006</v>
      </c>
      <c r="L303" s="119">
        <f t="shared" ref="L303" ca="1" si="1098">IF(AND(K303&lt;&gt;0,I303&lt;&gt;0),(IF(C303="B",1,-1))*(K303-J303)*I303-AK303*2,0)*$D303*IF(MONTH($B$2)=MONTH($H303),1,0)</f>
        <v>0</v>
      </c>
      <c r="M303" s="119">
        <f t="shared" ref="M303" si="1099">IF(AND(K303&lt;&gt;0,I303&lt;&gt;0),(IF(C303="B",1,-1))*(K303-J303)*I303-AK303*2,0)*$D303</f>
        <v>34545</v>
      </c>
      <c r="N303" s="115">
        <f t="shared" ref="N303" si="1100">K303/$J303</f>
        <v>9.3663911845730044E-2</v>
      </c>
      <c r="O303" s="156">
        <f t="shared" ref="O303" si="1101">J303*(1+$O$6*IF(C303="B",-1,1))</f>
        <v>952.875</v>
      </c>
      <c r="P303" s="160">
        <f t="shared" si="754"/>
        <v>38115</v>
      </c>
      <c r="Q303" s="160" t="e">
        <f t="shared" ref="Q303" si="1102">(W303-J303)*I303*IF(C303="B",1,-1)*IF(K303=0,1,0)</f>
        <v>#N/A</v>
      </c>
      <c r="R303" s="153" t="e">
        <f t="shared" ca="1" si="876"/>
        <v>#VALUE!</v>
      </c>
      <c r="S303" s="119">
        <f t="shared" ref="S303" si="1103">(1-$S$6)*J303</f>
        <v>76.229999999999976</v>
      </c>
      <c r="T303" s="115" t="str">
        <f>VLOOKUP(TRIM($F303),Reference!B:C,2,0)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03" s="170">
        <f t="shared" ref="U303" ca="1" si="1104">AC303</f>
        <v>0</v>
      </c>
      <c r="V303" s="120" t="str">
        <f t="shared" si="865"/>
        <v>BANKNIFTY22JUL37000CE</v>
      </c>
      <c r="W303" s="158" t="e">
        <f>VLOOKUP($V303,Reference!BA:BD,4,0)</f>
        <v>#N/A</v>
      </c>
      <c r="X303" s="160">
        <f t="shared" ca="1" si="866"/>
        <v>0</v>
      </c>
      <c r="Y303" s="160">
        <f t="shared" ca="1" si="867"/>
        <v>0</v>
      </c>
      <c r="Z303" s="160">
        <f t="shared" ca="1" si="879"/>
        <v>0</v>
      </c>
      <c r="AA303" s="160">
        <f t="shared" ca="1" si="868"/>
        <v>0</v>
      </c>
      <c r="AB303" s="160">
        <f t="shared" ca="1" si="869"/>
        <v>0</v>
      </c>
      <c r="AC303" s="119">
        <f t="shared" ca="1" si="870"/>
        <v>0</v>
      </c>
      <c r="AD303" s="115">
        <f t="shared" ref="AD303" ca="1" si="1105">(H303-TODAY())/365</f>
        <v>-1.1342465753424658</v>
      </c>
      <c r="AE303" s="115">
        <f t="shared" ref="AE303" si="1106">IF(I303&lt;&gt;0,20,0)</f>
        <v>20</v>
      </c>
      <c r="AF303" s="115"/>
      <c r="AG303" s="115"/>
      <c r="AH303" s="115">
        <f t="shared" si="755"/>
        <v>19.057500000000001</v>
      </c>
      <c r="AI303" s="115"/>
      <c r="AJ303" s="115">
        <f t="shared" si="756"/>
        <v>0</v>
      </c>
      <c r="AK303" s="115"/>
      <c r="AL303" s="142"/>
      <c r="AM303" s="153"/>
      <c r="AN303" s="153"/>
      <c r="AO303" s="153"/>
      <c r="AP303" s="153"/>
      <c r="AQ303" s="153"/>
      <c r="AR303" s="153"/>
      <c r="AS303" s="153"/>
      <c r="AT303" s="153"/>
      <c r="AU303" s="153"/>
      <c r="AV303" s="153"/>
      <c r="AW303" s="153"/>
      <c r="AX303" s="153"/>
      <c r="AY303" s="153"/>
      <c r="AZ303" s="153"/>
      <c r="BA303" s="153"/>
      <c r="BB303" s="153"/>
      <c r="BC303" s="153"/>
      <c r="BD303" s="153"/>
      <c r="BE303" s="153"/>
      <c r="BF303" s="153"/>
      <c r="BG303" s="153"/>
      <c r="BS303" s="13">
        <v>2</v>
      </c>
      <c r="BT303" s="123">
        <v>44491</v>
      </c>
      <c r="BU303" s="116" t="s">
        <v>8</v>
      </c>
      <c r="BV303" s="115" t="s">
        <v>482</v>
      </c>
      <c r="BW303" s="116" t="s">
        <v>502</v>
      </c>
      <c r="BX303" s="115">
        <v>18400</v>
      </c>
      <c r="BY303" s="115">
        <v>41.7</v>
      </c>
      <c r="BZ303" s="115">
        <v>47.945</v>
      </c>
      <c r="CA303" s="119">
        <v>-3216.6708800000001</v>
      </c>
      <c r="CB303" s="115">
        <v>1.1497601918465228</v>
      </c>
      <c r="CC303" s="115">
        <v>500</v>
      </c>
      <c r="CD303" s="115">
        <v>50</v>
      </c>
      <c r="CE303" s="119">
        <v>20850</v>
      </c>
    </row>
    <row r="304" spans="1:83" hidden="1">
      <c r="A304" s="13">
        <f t="shared" si="753"/>
        <v>297</v>
      </c>
      <c r="B304" s="123">
        <v>44708</v>
      </c>
      <c r="C304" s="116" t="s">
        <v>6</v>
      </c>
      <c r="D304" s="116">
        <v>1</v>
      </c>
      <c r="E304" s="115" t="s">
        <v>632</v>
      </c>
      <c r="F304" s="116" t="s">
        <v>506</v>
      </c>
      <c r="G304" s="115"/>
      <c r="H304" s="117">
        <v>44770</v>
      </c>
      <c r="I304" s="115">
        <v>25</v>
      </c>
      <c r="J304" s="115">
        <v>35580</v>
      </c>
      <c r="K304" s="115">
        <v>35179.550000000003</v>
      </c>
      <c r="L304" s="119">
        <f t="shared" ref="L304:L305" ca="1" si="1107">IF(AND(K304&lt;&gt;0,I304&lt;&gt;0),(IF(C304="B",1,-1))*(K304-J304)*I304-AK304*2,0)*$D304*IF(MONTH($B$2)=MONTH($H304),1,0)</f>
        <v>0</v>
      </c>
      <c r="M304" s="119">
        <f t="shared" ref="M304:M305" si="1108">IF(AND(K304&lt;&gt;0,I304&lt;&gt;0),(IF(C304="B",1,-1))*(K304-J304)*I304-AK304*2,0)*$D304</f>
        <v>-10011.249999999927</v>
      </c>
      <c r="N304" s="115">
        <f t="shared" ref="N304:N305" si="1109">K304/$J304</f>
        <v>0.98874508150646434</v>
      </c>
      <c r="O304" s="156">
        <f t="shared" ref="O304:O305" si="1110">J304*(1+$O$6*IF(C304="B",-1,1))</f>
        <v>26685</v>
      </c>
      <c r="P304" s="160">
        <f t="shared" si="754"/>
        <v>889500</v>
      </c>
      <c r="Q304" s="160" t="e">
        <f t="shared" ref="Q304:Q305" si="1111">(W304-J304)*I304*IF(C304="B",1,-1)*IF(K304=0,1,0)</f>
        <v>#N/A</v>
      </c>
      <c r="R304" s="153" t="e">
        <f t="shared" ca="1" si="876"/>
        <v>#VALUE!</v>
      </c>
      <c r="S304" s="119">
        <f t="shared" ref="S304:S305" si="1112">(1-$S$6)*J304</f>
        <v>3557.9999999999991</v>
      </c>
      <c r="T304" s="115" t="str">
        <f>VLOOKUP(TRIM($F304),Reference!B:C,2,0)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04" s="170">
        <f t="shared" ref="U304:U305" ca="1" si="1113">AC304</f>
        <v>0</v>
      </c>
      <c r="V304" s="120" t="str">
        <f t="shared" si="865"/>
        <v>BANKNIFTY22JULFUT</v>
      </c>
      <c r="W304" s="158" t="e">
        <f>VLOOKUP($V304,Reference!BA:BD,4,0)</f>
        <v>#N/A</v>
      </c>
      <c r="X304" s="160">
        <f t="shared" ca="1" si="866"/>
        <v>0</v>
      </c>
      <c r="Y304" s="160">
        <f t="shared" ca="1" si="867"/>
        <v>0</v>
      </c>
      <c r="Z304" s="160">
        <f t="shared" ca="1" si="879"/>
        <v>0</v>
      </c>
      <c r="AA304" s="160">
        <f t="shared" ca="1" si="868"/>
        <v>0</v>
      </c>
      <c r="AB304" s="160">
        <f t="shared" ca="1" si="869"/>
        <v>0</v>
      </c>
      <c r="AC304" s="119">
        <f t="shared" ca="1" si="870"/>
        <v>0</v>
      </c>
      <c r="AD304" s="115">
        <f t="shared" ref="AD304:AD305" ca="1" si="1114">(H304-TODAY())/365</f>
        <v>-1.1342465753424658</v>
      </c>
      <c r="AE304" s="115">
        <f t="shared" ref="AE304:AE305" si="1115">IF(I304&lt;&gt;0,20,0)</f>
        <v>20</v>
      </c>
      <c r="AF304" s="115"/>
      <c r="AG304" s="115"/>
      <c r="AH304" s="115">
        <f t="shared" si="755"/>
        <v>0</v>
      </c>
      <c r="AI304" s="115"/>
      <c r="AJ304" s="115">
        <f t="shared" si="756"/>
        <v>26.685000000000002</v>
      </c>
      <c r="AK304" s="115"/>
      <c r="AL304" s="142"/>
      <c r="AM304" s="153"/>
      <c r="AN304" s="153"/>
      <c r="AO304" s="153"/>
      <c r="AP304" s="153"/>
      <c r="AQ304" s="153"/>
      <c r="AR304" s="153"/>
      <c r="AS304" s="153"/>
      <c r="AT304" s="153"/>
      <c r="AU304" s="153"/>
      <c r="AV304" s="153"/>
      <c r="AW304" s="153"/>
      <c r="AX304" s="153"/>
      <c r="AY304" s="153"/>
      <c r="AZ304" s="153"/>
      <c r="BA304" s="153"/>
      <c r="BB304" s="153"/>
      <c r="BC304" s="153"/>
      <c r="BD304" s="153"/>
      <c r="BE304" s="153"/>
      <c r="BF304" s="153"/>
      <c r="BG304" s="153"/>
      <c r="BS304" s="13">
        <v>2</v>
      </c>
      <c r="BT304" s="123">
        <v>44491</v>
      </c>
      <c r="BU304" s="116" t="s">
        <v>8</v>
      </c>
      <c r="BV304" s="115" t="s">
        <v>482</v>
      </c>
      <c r="BW304" s="116" t="s">
        <v>502</v>
      </c>
      <c r="BX304" s="115">
        <v>18400</v>
      </c>
      <c r="BY304" s="115">
        <v>41.7</v>
      </c>
      <c r="BZ304" s="115">
        <v>47.945</v>
      </c>
      <c r="CA304" s="119">
        <v>-3216.6708800000001</v>
      </c>
      <c r="CB304" s="115">
        <v>1.1497601918465228</v>
      </c>
      <c r="CC304" s="115">
        <v>500</v>
      </c>
      <c r="CD304" s="115">
        <v>50</v>
      </c>
      <c r="CE304" s="119">
        <v>20850</v>
      </c>
    </row>
    <row r="305" spans="1:83" hidden="1">
      <c r="A305" s="13">
        <f t="shared" si="753"/>
        <v>298</v>
      </c>
      <c r="B305" s="123">
        <v>44708</v>
      </c>
      <c r="C305" s="116" t="s">
        <v>8</v>
      </c>
      <c r="D305" s="116">
        <v>1</v>
      </c>
      <c r="E305" s="115" t="s">
        <v>481</v>
      </c>
      <c r="F305" s="116" t="s">
        <v>399</v>
      </c>
      <c r="G305" s="115">
        <v>1680</v>
      </c>
      <c r="H305" s="117">
        <v>44742</v>
      </c>
      <c r="I305" s="115">
        <v>575</v>
      </c>
      <c r="J305" s="115">
        <v>20</v>
      </c>
      <c r="K305" s="115">
        <v>0.15</v>
      </c>
      <c r="L305" s="119">
        <f t="shared" ca="1" si="1107"/>
        <v>0</v>
      </c>
      <c r="M305" s="119">
        <f t="shared" si="1108"/>
        <v>11413.75</v>
      </c>
      <c r="N305" s="115">
        <f t="shared" si="1109"/>
        <v>7.4999999999999997E-3</v>
      </c>
      <c r="O305" s="156">
        <f t="shared" si="1110"/>
        <v>25</v>
      </c>
      <c r="P305" s="160">
        <f t="shared" si="754"/>
        <v>11500</v>
      </c>
      <c r="Q305" s="160" t="e">
        <f t="shared" si="1111"/>
        <v>#N/A</v>
      </c>
      <c r="R305" s="153" t="e">
        <f t="shared" ca="1" si="876"/>
        <v>#VALUE!</v>
      </c>
      <c r="S305" s="119">
        <f t="shared" si="1112"/>
        <v>1.9999999999999996</v>
      </c>
      <c r="T305" s="115" t="e">
        <f>VLOOKUP(TRIM($F305),Reference!B:C,2,0)</f>
        <v>#VALUE!</v>
      </c>
      <c r="U305" s="170">
        <f t="shared" ca="1" si="1113"/>
        <v>0</v>
      </c>
      <c r="V305" s="120" t="str">
        <f t="shared" si="865"/>
        <v>LT22JUN1680CE</v>
      </c>
      <c r="W305" s="158" t="e">
        <f>VLOOKUP($V305,Reference!BA:BD,4,0)</f>
        <v>#N/A</v>
      </c>
      <c r="X305" s="160">
        <f t="shared" ca="1" si="866"/>
        <v>0</v>
      </c>
      <c r="Y305" s="160">
        <f t="shared" ca="1" si="867"/>
        <v>0</v>
      </c>
      <c r="Z305" s="160">
        <f t="shared" ca="1" si="879"/>
        <v>0</v>
      </c>
      <c r="AA305" s="160">
        <f t="shared" ca="1" si="868"/>
        <v>0</v>
      </c>
      <c r="AB305" s="160">
        <f t="shared" ca="1" si="869"/>
        <v>0</v>
      </c>
      <c r="AC305" s="119">
        <f t="shared" ca="1" si="870"/>
        <v>0</v>
      </c>
      <c r="AD305" s="115">
        <f t="shared" ca="1" si="1114"/>
        <v>-1.210958904109589</v>
      </c>
      <c r="AE305" s="115">
        <f t="shared" si="1115"/>
        <v>20</v>
      </c>
      <c r="AF305" s="115"/>
      <c r="AG305" s="115"/>
      <c r="AH305" s="115">
        <f t="shared" si="755"/>
        <v>5.75</v>
      </c>
      <c r="AI305" s="115"/>
      <c r="AJ305" s="115">
        <f t="shared" si="756"/>
        <v>0</v>
      </c>
      <c r="AK305" s="115"/>
      <c r="AL305" s="142"/>
      <c r="AM305" s="153"/>
      <c r="AN305" s="153"/>
      <c r="AO305" s="153"/>
      <c r="AP305" s="153"/>
      <c r="AQ305" s="153"/>
      <c r="AR305" s="153"/>
      <c r="AS305" s="153"/>
      <c r="AT305" s="153"/>
      <c r="AU305" s="153"/>
      <c r="AV305" s="153"/>
      <c r="AW305" s="153"/>
      <c r="AX305" s="153"/>
      <c r="AY305" s="153"/>
      <c r="AZ305" s="153"/>
      <c r="BA305" s="153"/>
      <c r="BB305" s="153"/>
      <c r="BC305" s="153"/>
      <c r="BD305" s="153"/>
      <c r="BE305" s="153"/>
      <c r="BF305" s="153"/>
      <c r="BG305" s="153"/>
      <c r="BS305" s="13">
        <v>2</v>
      </c>
      <c r="BT305" s="123">
        <v>44491</v>
      </c>
      <c r="BU305" s="116" t="s">
        <v>8</v>
      </c>
      <c r="BV305" s="115" t="s">
        <v>482</v>
      </c>
      <c r="BW305" s="116" t="s">
        <v>502</v>
      </c>
      <c r="BX305" s="115">
        <v>18400</v>
      </c>
      <c r="BY305" s="115">
        <v>41.7</v>
      </c>
      <c r="BZ305" s="115">
        <v>47.945</v>
      </c>
      <c r="CA305" s="119">
        <v>-3216.6708800000001</v>
      </c>
      <c r="CB305" s="115">
        <v>1.1497601918465228</v>
      </c>
      <c r="CC305" s="115">
        <v>500</v>
      </c>
      <c r="CD305" s="115">
        <v>50</v>
      </c>
      <c r="CE305" s="119">
        <v>20850</v>
      </c>
    </row>
    <row r="306" spans="1:83" hidden="1">
      <c r="A306" s="13">
        <f t="shared" si="753"/>
        <v>299</v>
      </c>
      <c r="B306" s="123">
        <v>44708</v>
      </c>
      <c r="C306" s="116" t="s">
        <v>8</v>
      </c>
      <c r="D306" s="116">
        <v>1</v>
      </c>
      <c r="E306" s="115" t="s">
        <v>481</v>
      </c>
      <c r="F306" s="116" t="s">
        <v>284</v>
      </c>
      <c r="G306" s="115">
        <v>460</v>
      </c>
      <c r="H306" s="117">
        <v>44742</v>
      </c>
      <c r="I306" s="115">
        <v>1425</v>
      </c>
      <c r="J306" s="115">
        <v>10.199999999999999</v>
      </c>
      <c r="K306" s="115">
        <v>0.3</v>
      </c>
      <c r="L306" s="119">
        <f t="shared" ref="L306" ca="1" si="1116">IF(AND(K306&lt;&gt;0,I306&lt;&gt;0),(IF(C306="B",1,-1))*(K306-J306)*I306-AK306*2,0)*$D306*IF(MONTH($B$2)=MONTH($H306),1,0)</f>
        <v>0</v>
      </c>
      <c r="M306" s="119">
        <f t="shared" ref="M306" si="1117">IF(AND(K306&lt;&gt;0,I306&lt;&gt;0),(IF(C306="B",1,-1))*(K306-J306)*I306-AK306*2,0)*$D306</f>
        <v>14107.499999999998</v>
      </c>
      <c r="N306" s="115">
        <f t="shared" ref="N306" si="1118">K306/$J306</f>
        <v>2.9411764705882353E-2</v>
      </c>
      <c r="O306" s="156">
        <f t="shared" ref="O306" si="1119">J306*(1+$O$6*IF(C306="B",-1,1))</f>
        <v>12.75</v>
      </c>
      <c r="P306" s="160">
        <f t="shared" si="754"/>
        <v>14534.999999999998</v>
      </c>
      <c r="Q306" s="160" t="e">
        <f t="shared" ref="Q306" si="1120">(W306-J306)*I306*IF(C306="B",1,-1)*IF(K306=0,1,0)</f>
        <v>#N/A</v>
      </c>
      <c r="R306" s="153" t="e">
        <f t="shared" ca="1" si="876"/>
        <v>#VALUE!</v>
      </c>
      <c r="S306" s="119">
        <f t="shared" ref="S306" si="1121">(1-$S$6)*J306</f>
        <v>1.0199999999999998</v>
      </c>
      <c r="T306" s="115" t="e">
        <f>VLOOKUP(TRIM($F306),Reference!B:C,2,0)</f>
        <v>#VALUE!</v>
      </c>
      <c r="U306" s="170">
        <f t="shared" ref="U306" ca="1" si="1122">AC306</f>
        <v>0</v>
      </c>
      <c r="V306" s="120" t="str">
        <f t="shared" si="865"/>
        <v>TATAMOTORS22JUN460CE</v>
      </c>
      <c r="W306" s="158" t="e">
        <f>VLOOKUP($V306,Reference!BA:BD,4,0)</f>
        <v>#N/A</v>
      </c>
      <c r="X306" s="160">
        <f t="shared" ca="1" si="866"/>
        <v>0</v>
      </c>
      <c r="Y306" s="160">
        <f t="shared" ca="1" si="867"/>
        <v>0</v>
      </c>
      <c r="Z306" s="160">
        <f t="shared" ca="1" si="879"/>
        <v>0</v>
      </c>
      <c r="AA306" s="160">
        <f t="shared" ca="1" si="868"/>
        <v>0</v>
      </c>
      <c r="AB306" s="160">
        <f t="shared" ca="1" si="869"/>
        <v>0</v>
      </c>
      <c r="AC306" s="119">
        <f t="shared" ca="1" si="870"/>
        <v>0</v>
      </c>
      <c r="AD306" s="115">
        <f t="shared" ref="AD306" ca="1" si="1123">(H306-TODAY())/365</f>
        <v>-1.210958904109589</v>
      </c>
      <c r="AE306" s="115">
        <f t="shared" ref="AE306" si="1124">IF(I306&lt;&gt;0,20,0)</f>
        <v>20</v>
      </c>
      <c r="AF306" s="115"/>
      <c r="AG306" s="115"/>
      <c r="AH306" s="115">
        <f t="shared" si="755"/>
        <v>7.2674999999999992</v>
      </c>
      <c r="AI306" s="115"/>
      <c r="AJ306" s="115">
        <f t="shared" si="756"/>
        <v>0</v>
      </c>
      <c r="AK306" s="115"/>
      <c r="AL306" s="142"/>
      <c r="AM306" s="153"/>
      <c r="AN306" s="153"/>
      <c r="AO306" s="153"/>
      <c r="AP306" s="153"/>
      <c r="AQ306" s="153"/>
      <c r="AR306" s="153"/>
      <c r="AS306" s="153"/>
      <c r="AT306" s="153"/>
      <c r="AU306" s="153"/>
      <c r="AV306" s="153"/>
      <c r="AW306" s="153"/>
      <c r="AX306" s="153"/>
      <c r="AY306" s="153"/>
      <c r="AZ306" s="153"/>
      <c r="BA306" s="153"/>
      <c r="BB306" s="153"/>
      <c r="BC306" s="153"/>
      <c r="BD306" s="153"/>
      <c r="BE306" s="153"/>
      <c r="BF306" s="153"/>
      <c r="BG306" s="153"/>
      <c r="BS306" s="13">
        <v>2</v>
      </c>
      <c r="BT306" s="123">
        <v>44491</v>
      </c>
      <c r="BU306" s="116" t="s">
        <v>8</v>
      </c>
      <c r="BV306" s="115" t="s">
        <v>482</v>
      </c>
      <c r="BW306" s="116" t="s">
        <v>502</v>
      </c>
      <c r="BX306" s="115">
        <v>18400</v>
      </c>
      <c r="BY306" s="115">
        <v>41.7</v>
      </c>
      <c r="BZ306" s="115">
        <v>47.945</v>
      </c>
      <c r="CA306" s="119">
        <v>-3216.6708800000001</v>
      </c>
      <c r="CB306" s="115">
        <v>1.1497601918465228</v>
      </c>
      <c r="CC306" s="115">
        <v>500</v>
      </c>
      <c r="CD306" s="115">
        <v>50</v>
      </c>
      <c r="CE306" s="119">
        <v>20850</v>
      </c>
    </row>
    <row r="307" spans="1:83" hidden="1">
      <c r="A307" s="13">
        <f t="shared" si="753"/>
        <v>300</v>
      </c>
      <c r="B307" s="123">
        <v>44708</v>
      </c>
      <c r="C307" s="116" t="s">
        <v>8</v>
      </c>
      <c r="D307" s="116">
        <v>1</v>
      </c>
      <c r="E307" s="115" t="s">
        <v>481</v>
      </c>
      <c r="F307" s="116" t="s">
        <v>390</v>
      </c>
      <c r="G307" s="115">
        <v>2500</v>
      </c>
      <c r="H307" s="117">
        <v>44742</v>
      </c>
      <c r="I307" s="115">
        <v>375</v>
      </c>
      <c r="J307" s="115">
        <v>55</v>
      </c>
      <c r="K307" s="115">
        <v>63.2</v>
      </c>
      <c r="L307" s="119">
        <f t="shared" ref="L307" ca="1" si="1125">IF(AND(K307&lt;&gt;0,I307&lt;&gt;0),(IF(C307="B",1,-1))*(K307-J307)*I307-AK307*2,0)*$D307*IF(MONTH($B$2)=MONTH($H307),1,0)</f>
        <v>0</v>
      </c>
      <c r="M307" s="119">
        <f t="shared" ref="M307" si="1126">IF(AND(K307&lt;&gt;0,I307&lt;&gt;0),(IF(C307="B",1,-1))*(K307-J307)*I307-AK307*2,0)*$D307</f>
        <v>-3075.0000000000009</v>
      </c>
      <c r="N307" s="115">
        <f t="shared" ref="N307" si="1127">K307/$J307</f>
        <v>1.1490909090909092</v>
      </c>
      <c r="O307" s="156">
        <f t="shared" ref="O307" si="1128">J307*(1+$O$6*IF(C307="B",-1,1))</f>
        <v>68.75</v>
      </c>
      <c r="P307" s="160">
        <f t="shared" si="754"/>
        <v>20625</v>
      </c>
      <c r="Q307" s="160" t="e">
        <f t="shared" ref="Q307" si="1129">(W307-J307)*I307*IF(C307="B",1,-1)*IF(K307=0,1,0)</f>
        <v>#N/A</v>
      </c>
      <c r="R307" s="153" t="e">
        <f t="shared" ca="1" si="876"/>
        <v>#VALUE!</v>
      </c>
      <c r="S307" s="119">
        <f t="shared" ref="S307" si="1130">(1-$S$6)*J307</f>
        <v>5.4999999999999991</v>
      </c>
      <c r="T307" s="115" t="e">
        <f>VLOOKUP(TRIM($F307),Reference!B:C,2,0)</f>
        <v>#VALUE!</v>
      </c>
      <c r="U307" s="170">
        <f t="shared" ref="U307" ca="1" si="1131">AC307</f>
        <v>0</v>
      </c>
      <c r="V307" s="120" t="str">
        <f t="shared" si="865"/>
        <v>SRF22JUN2500CE</v>
      </c>
      <c r="W307" s="158" t="e">
        <f>VLOOKUP($V307,Reference!BA:BD,4,0)</f>
        <v>#N/A</v>
      </c>
      <c r="X307" s="160">
        <f t="shared" ca="1" si="866"/>
        <v>0</v>
      </c>
      <c r="Y307" s="160">
        <f t="shared" ca="1" si="867"/>
        <v>0</v>
      </c>
      <c r="Z307" s="160">
        <f t="shared" ca="1" si="879"/>
        <v>0</v>
      </c>
      <c r="AA307" s="160">
        <f t="shared" ca="1" si="868"/>
        <v>0</v>
      </c>
      <c r="AB307" s="160">
        <f t="shared" ca="1" si="869"/>
        <v>0</v>
      </c>
      <c r="AC307" s="119">
        <f t="shared" ca="1" si="870"/>
        <v>0</v>
      </c>
      <c r="AD307" s="115">
        <f t="shared" ref="AD307" ca="1" si="1132">(H307-TODAY())/365</f>
        <v>-1.210958904109589</v>
      </c>
      <c r="AE307" s="115">
        <f t="shared" ref="AE307" si="1133">IF(I307&lt;&gt;0,20,0)</f>
        <v>20</v>
      </c>
      <c r="AF307" s="115"/>
      <c r="AG307" s="115"/>
      <c r="AH307" s="115">
        <f t="shared" si="755"/>
        <v>10.3125</v>
      </c>
      <c r="AI307" s="115"/>
      <c r="AJ307" s="115">
        <f t="shared" si="756"/>
        <v>0</v>
      </c>
      <c r="AK307" s="115"/>
      <c r="AL307" s="142"/>
      <c r="AM307" s="153"/>
      <c r="AN307" s="153"/>
      <c r="AO307" s="153"/>
      <c r="AP307" s="153"/>
      <c r="AQ307" s="153"/>
      <c r="AR307" s="153"/>
      <c r="AS307" s="153"/>
      <c r="AT307" s="153"/>
      <c r="AU307" s="153"/>
      <c r="AV307" s="153"/>
      <c r="AW307" s="153"/>
      <c r="AX307" s="153"/>
      <c r="AY307" s="153"/>
      <c r="AZ307" s="153"/>
      <c r="BA307" s="153"/>
      <c r="BB307" s="153"/>
      <c r="BC307" s="153"/>
      <c r="BD307" s="153"/>
      <c r="BE307" s="153"/>
      <c r="BF307" s="153"/>
      <c r="BG307" s="153"/>
      <c r="BS307" s="13">
        <v>2</v>
      </c>
      <c r="BT307" s="123">
        <v>44491</v>
      </c>
      <c r="BU307" s="116" t="s">
        <v>8</v>
      </c>
      <c r="BV307" s="115" t="s">
        <v>482</v>
      </c>
      <c r="BW307" s="116" t="s">
        <v>502</v>
      </c>
      <c r="BX307" s="115">
        <v>18400</v>
      </c>
      <c r="BY307" s="115">
        <v>41.7</v>
      </c>
      <c r="BZ307" s="115">
        <v>47.945</v>
      </c>
      <c r="CA307" s="119">
        <v>-3216.6708800000001</v>
      </c>
      <c r="CB307" s="115">
        <v>1.1497601918465228</v>
      </c>
      <c r="CC307" s="115">
        <v>500</v>
      </c>
      <c r="CD307" s="115">
        <v>50</v>
      </c>
      <c r="CE307" s="119">
        <v>20850</v>
      </c>
    </row>
    <row r="308" spans="1:83" hidden="1">
      <c r="A308" s="13">
        <f t="shared" si="753"/>
        <v>301</v>
      </c>
      <c r="B308" s="123">
        <v>44708</v>
      </c>
      <c r="C308" s="116" t="s">
        <v>8</v>
      </c>
      <c r="D308" s="116">
        <v>1</v>
      </c>
      <c r="E308" s="115" t="s">
        <v>481</v>
      </c>
      <c r="F308" s="116" t="s">
        <v>130</v>
      </c>
      <c r="G308" s="115">
        <v>250</v>
      </c>
      <c r="H308" s="117">
        <v>44742</v>
      </c>
      <c r="I308" s="115">
        <v>3375</v>
      </c>
      <c r="J308" s="115">
        <v>3.3</v>
      </c>
      <c r="K308" s="115">
        <v>0.1</v>
      </c>
      <c r="L308" s="119">
        <f t="shared" ref="L308:L310" ca="1" si="1134">IF(AND(K308&lt;&gt;0,I308&lt;&gt;0),(IF(C308="B",1,-1))*(K308-J308)*I308-AK308*2,0)*$D308*IF(MONTH($B$2)=MONTH($H308),1,0)</f>
        <v>0</v>
      </c>
      <c r="M308" s="119">
        <f t="shared" ref="M308:M310" si="1135">IF(AND(K308&lt;&gt;0,I308&lt;&gt;0),(IF(C308="B",1,-1))*(K308-J308)*I308-AK308*2,0)*$D308</f>
        <v>10800</v>
      </c>
      <c r="N308" s="115">
        <f t="shared" ref="N308:N310" si="1136">K308/$J308</f>
        <v>3.0303030303030307E-2</v>
      </c>
      <c r="O308" s="156">
        <f t="shared" ref="O308:O310" si="1137">J308*(1+$O$6*IF(C308="B",-1,1))</f>
        <v>4.125</v>
      </c>
      <c r="P308" s="160">
        <f t="shared" si="754"/>
        <v>11137.5</v>
      </c>
      <c r="Q308" s="160" t="e">
        <f t="shared" ref="Q308:Q310" si="1138">(W308-J308)*I308*IF(C308="B",1,-1)*IF(K308=0,1,0)</f>
        <v>#N/A</v>
      </c>
      <c r="R308" s="153" t="e">
        <f t="shared" ca="1" si="876"/>
        <v>#VALUE!</v>
      </c>
      <c r="S308" s="119">
        <f t="shared" ref="S308:S310" si="1139">(1-$S$6)*J308</f>
        <v>0.3299999999999999</v>
      </c>
      <c r="T308" s="115" t="e">
        <f>VLOOKUP(TRIM($F308),Reference!B:C,2,0)</f>
        <v>#VALUE!</v>
      </c>
      <c r="U308" s="170">
        <f t="shared" ref="U308:U310" ca="1" si="1140">AC308</f>
        <v>0</v>
      </c>
      <c r="V308" s="120" t="str">
        <f t="shared" si="865"/>
        <v>TATAPOWER22JUN250CE</v>
      </c>
      <c r="W308" s="158" t="e">
        <f>VLOOKUP($V308,Reference!BA:BD,4,0)</f>
        <v>#N/A</v>
      </c>
      <c r="X308" s="160">
        <f t="shared" ca="1" si="866"/>
        <v>0</v>
      </c>
      <c r="Y308" s="160">
        <f t="shared" ca="1" si="867"/>
        <v>0</v>
      </c>
      <c r="Z308" s="160">
        <f t="shared" ca="1" si="879"/>
        <v>0</v>
      </c>
      <c r="AA308" s="160">
        <f t="shared" ca="1" si="868"/>
        <v>0</v>
      </c>
      <c r="AB308" s="160">
        <f t="shared" ca="1" si="869"/>
        <v>0</v>
      </c>
      <c r="AC308" s="119">
        <f t="shared" ca="1" si="870"/>
        <v>0</v>
      </c>
      <c r="AD308" s="115">
        <f t="shared" ref="AD308:AD310" ca="1" si="1141">(H308-TODAY())/365</f>
        <v>-1.210958904109589</v>
      </c>
      <c r="AE308" s="115">
        <f t="shared" ref="AE308:AE310" si="1142">IF(I308&lt;&gt;0,20,0)</f>
        <v>20</v>
      </c>
      <c r="AF308" s="115"/>
      <c r="AG308" s="115"/>
      <c r="AH308" s="115">
        <f t="shared" si="755"/>
        <v>5.5687500000000005</v>
      </c>
      <c r="AI308" s="115"/>
      <c r="AJ308" s="115">
        <f t="shared" si="756"/>
        <v>0</v>
      </c>
      <c r="AK308" s="115"/>
      <c r="AL308" s="142"/>
      <c r="AM308" s="153"/>
      <c r="AN308" s="153"/>
      <c r="AO308" s="153"/>
      <c r="AP308" s="153"/>
      <c r="AQ308" s="153"/>
      <c r="AR308" s="153"/>
      <c r="AS308" s="153"/>
      <c r="AT308" s="153"/>
      <c r="AU308" s="153"/>
      <c r="AV308" s="153"/>
      <c r="AW308" s="153"/>
      <c r="AX308" s="153"/>
      <c r="AY308" s="153"/>
      <c r="AZ308" s="153"/>
      <c r="BA308" s="153"/>
      <c r="BB308" s="153"/>
      <c r="BC308" s="153"/>
      <c r="BD308" s="153"/>
      <c r="BE308" s="153"/>
      <c r="BF308" s="153"/>
      <c r="BG308" s="153"/>
      <c r="BS308" s="13">
        <v>2</v>
      </c>
      <c r="BT308" s="123">
        <v>44491</v>
      </c>
      <c r="BU308" s="116" t="s">
        <v>8</v>
      </c>
      <c r="BV308" s="115" t="s">
        <v>482</v>
      </c>
      <c r="BW308" s="116" t="s">
        <v>502</v>
      </c>
      <c r="BX308" s="115">
        <v>18400</v>
      </c>
      <c r="BY308" s="115">
        <v>41.7</v>
      </c>
      <c r="BZ308" s="115">
        <v>47.945</v>
      </c>
      <c r="CA308" s="119">
        <v>-3216.6708800000001</v>
      </c>
      <c r="CB308" s="115">
        <v>1.1497601918465228</v>
      </c>
      <c r="CC308" s="115">
        <v>500</v>
      </c>
      <c r="CD308" s="115">
        <v>50</v>
      </c>
      <c r="CE308" s="119">
        <v>20850</v>
      </c>
    </row>
    <row r="309" spans="1:83" hidden="1">
      <c r="A309" s="13">
        <f t="shared" si="753"/>
        <v>302</v>
      </c>
      <c r="B309" s="123">
        <v>44708</v>
      </c>
      <c r="C309" s="116" t="s">
        <v>6</v>
      </c>
      <c r="D309" s="116">
        <v>1</v>
      </c>
      <c r="E309" s="115" t="s">
        <v>482</v>
      </c>
      <c r="F309" s="116" t="s">
        <v>399</v>
      </c>
      <c r="G309" s="115">
        <v>1560</v>
      </c>
      <c r="H309" s="117">
        <v>44742</v>
      </c>
      <c r="I309" s="115">
        <v>575</v>
      </c>
      <c r="J309" s="115">
        <v>40.200000000000003</v>
      </c>
      <c r="K309" s="115">
        <v>24.1</v>
      </c>
      <c r="L309" s="119">
        <f t="shared" ca="1" si="1134"/>
        <v>0</v>
      </c>
      <c r="M309" s="119">
        <f t="shared" si="1135"/>
        <v>-9257.5</v>
      </c>
      <c r="N309" s="115">
        <f t="shared" si="1136"/>
        <v>0.59950248756218905</v>
      </c>
      <c r="O309" s="156">
        <f t="shared" si="1137"/>
        <v>30.150000000000002</v>
      </c>
      <c r="P309" s="160">
        <f t="shared" si="754"/>
        <v>23115</v>
      </c>
      <c r="Q309" s="160" t="e">
        <f t="shared" si="1138"/>
        <v>#N/A</v>
      </c>
      <c r="R309" s="153" t="e">
        <f t="shared" ca="1" si="876"/>
        <v>#VALUE!</v>
      </c>
      <c r="S309" s="119">
        <f t="shared" si="1139"/>
        <v>4.0199999999999996</v>
      </c>
      <c r="T309" s="115" t="e">
        <f>VLOOKUP(TRIM($F309),Reference!B:C,2,0)</f>
        <v>#VALUE!</v>
      </c>
      <c r="U309" s="170">
        <f t="shared" ca="1" si="1140"/>
        <v>0</v>
      </c>
      <c r="V309" s="120" t="str">
        <f t="shared" si="865"/>
        <v>LT22JUN1560PE</v>
      </c>
      <c r="W309" s="158" t="e">
        <f>VLOOKUP($V309,Reference!BA:BD,4,0)</f>
        <v>#N/A</v>
      </c>
      <c r="X309" s="160">
        <f t="shared" ca="1" si="866"/>
        <v>0</v>
      </c>
      <c r="Y309" s="160">
        <f t="shared" ca="1" si="867"/>
        <v>0</v>
      </c>
      <c r="Z309" s="160">
        <f t="shared" ca="1" si="879"/>
        <v>0</v>
      </c>
      <c r="AA309" s="160">
        <f t="shared" ca="1" si="868"/>
        <v>0</v>
      </c>
      <c r="AB309" s="160">
        <f t="shared" ca="1" si="869"/>
        <v>0</v>
      </c>
      <c r="AC309" s="119">
        <f t="shared" ca="1" si="870"/>
        <v>0</v>
      </c>
      <c r="AD309" s="115">
        <f t="shared" ca="1" si="1141"/>
        <v>-1.210958904109589</v>
      </c>
      <c r="AE309" s="115">
        <f t="shared" si="1142"/>
        <v>20</v>
      </c>
      <c r="AF309" s="115"/>
      <c r="AG309" s="115"/>
      <c r="AH309" s="115">
        <f t="shared" si="755"/>
        <v>0</v>
      </c>
      <c r="AI309" s="115"/>
      <c r="AJ309" s="115">
        <f t="shared" si="756"/>
        <v>0.69345000000000001</v>
      </c>
      <c r="AK309" s="115"/>
      <c r="AL309" s="142"/>
      <c r="AM309" s="153"/>
      <c r="AN309" s="153"/>
      <c r="AO309" s="153"/>
      <c r="AP309" s="153"/>
      <c r="AQ309" s="153"/>
      <c r="AR309" s="153"/>
      <c r="AS309" s="153"/>
      <c r="AT309" s="153"/>
      <c r="AU309" s="153"/>
      <c r="AV309" s="153"/>
      <c r="AW309" s="153"/>
      <c r="AX309" s="153"/>
      <c r="AY309" s="153"/>
      <c r="AZ309" s="153"/>
      <c r="BA309" s="153"/>
      <c r="BB309" s="153"/>
      <c r="BC309" s="153"/>
      <c r="BD309" s="153"/>
      <c r="BE309" s="153"/>
      <c r="BF309" s="153"/>
      <c r="BG309" s="153"/>
      <c r="BS309" s="13">
        <v>2</v>
      </c>
      <c r="BT309" s="123">
        <v>44491</v>
      </c>
      <c r="BU309" s="116" t="s">
        <v>8</v>
      </c>
      <c r="BV309" s="115" t="s">
        <v>482</v>
      </c>
      <c r="BW309" s="116" t="s">
        <v>502</v>
      </c>
      <c r="BX309" s="115">
        <v>18400</v>
      </c>
      <c r="BY309" s="115">
        <v>41.7</v>
      </c>
      <c r="BZ309" s="115">
        <v>47.945</v>
      </c>
      <c r="CA309" s="119">
        <v>-3216.6708800000001</v>
      </c>
      <c r="CB309" s="115">
        <v>1.1497601918465228</v>
      </c>
      <c r="CC309" s="115">
        <v>500</v>
      </c>
      <c r="CD309" s="115">
        <v>50</v>
      </c>
      <c r="CE309" s="119">
        <v>20850</v>
      </c>
    </row>
    <row r="310" spans="1:83" hidden="1">
      <c r="A310" s="13">
        <f t="shared" si="753"/>
        <v>303</v>
      </c>
      <c r="B310" s="123">
        <v>44708</v>
      </c>
      <c r="C310" s="116" t="s">
        <v>8</v>
      </c>
      <c r="D310" s="116">
        <v>1</v>
      </c>
      <c r="E310" s="115" t="s">
        <v>481</v>
      </c>
      <c r="F310" s="116" t="s">
        <v>399</v>
      </c>
      <c r="G310" s="115">
        <v>1700</v>
      </c>
      <c r="H310" s="117">
        <v>44742</v>
      </c>
      <c r="I310" s="115">
        <v>575</v>
      </c>
      <c r="J310" s="115">
        <v>14.1</v>
      </c>
      <c r="K310" s="115">
        <v>0.15</v>
      </c>
      <c r="L310" s="119">
        <f t="shared" ca="1" si="1134"/>
        <v>0</v>
      </c>
      <c r="M310" s="119">
        <f t="shared" si="1135"/>
        <v>8021.25</v>
      </c>
      <c r="N310" s="115">
        <f t="shared" si="1136"/>
        <v>1.0638297872340425E-2</v>
      </c>
      <c r="O310" s="156">
        <f t="shared" si="1137"/>
        <v>17.625</v>
      </c>
      <c r="P310" s="160">
        <f t="shared" si="754"/>
        <v>8107.5</v>
      </c>
      <c r="Q310" s="160" t="e">
        <f t="shared" si="1138"/>
        <v>#N/A</v>
      </c>
      <c r="R310" s="153" t="e">
        <f t="shared" ca="1" si="876"/>
        <v>#VALUE!</v>
      </c>
      <c r="S310" s="119">
        <f t="shared" si="1139"/>
        <v>1.4099999999999997</v>
      </c>
      <c r="T310" s="115" t="e">
        <f>VLOOKUP(TRIM($F310),Reference!B:C,2,0)</f>
        <v>#VALUE!</v>
      </c>
      <c r="U310" s="170">
        <f t="shared" ca="1" si="1140"/>
        <v>0</v>
      </c>
      <c r="V310" s="120" t="str">
        <f t="shared" si="865"/>
        <v>LT22JUN1700CE</v>
      </c>
      <c r="W310" s="158" t="e">
        <f>VLOOKUP($V310,Reference!BA:BD,4,0)</f>
        <v>#N/A</v>
      </c>
      <c r="X310" s="160">
        <f t="shared" ca="1" si="866"/>
        <v>0</v>
      </c>
      <c r="Y310" s="160">
        <f t="shared" ca="1" si="867"/>
        <v>0</v>
      </c>
      <c r="Z310" s="160">
        <f t="shared" ca="1" si="879"/>
        <v>0</v>
      </c>
      <c r="AA310" s="160">
        <f t="shared" ca="1" si="868"/>
        <v>0</v>
      </c>
      <c r="AB310" s="160">
        <f t="shared" ca="1" si="869"/>
        <v>0</v>
      </c>
      <c r="AC310" s="119">
        <f t="shared" ca="1" si="870"/>
        <v>0</v>
      </c>
      <c r="AD310" s="115">
        <f t="shared" ca="1" si="1141"/>
        <v>-1.210958904109589</v>
      </c>
      <c r="AE310" s="115">
        <f t="shared" si="1142"/>
        <v>20</v>
      </c>
      <c r="AF310" s="115"/>
      <c r="AG310" s="115"/>
      <c r="AH310" s="115">
        <f t="shared" si="755"/>
        <v>4.05375</v>
      </c>
      <c r="AI310" s="115"/>
      <c r="AJ310" s="115">
        <f t="shared" si="756"/>
        <v>0</v>
      </c>
      <c r="AK310" s="115"/>
      <c r="AL310" s="142"/>
      <c r="AM310" s="153"/>
      <c r="AN310" s="153"/>
      <c r="AO310" s="153"/>
      <c r="AP310" s="153"/>
      <c r="AQ310" s="153"/>
      <c r="AR310" s="153"/>
      <c r="AS310" s="153"/>
      <c r="AT310" s="153"/>
      <c r="AU310" s="153"/>
      <c r="AV310" s="153"/>
      <c r="AW310" s="153"/>
      <c r="AX310" s="153"/>
      <c r="AY310" s="153"/>
      <c r="AZ310" s="153"/>
      <c r="BA310" s="153"/>
      <c r="BB310" s="153"/>
      <c r="BC310" s="153"/>
      <c r="BD310" s="153"/>
      <c r="BE310" s="153"/>
      <c r="BF310" s="153"/>
      <c r="BG310" s="153"/>
      <c r="BS310" s="13">
        <v>2</v>
      </c>
      <c r="BT310" s="123">
        <v>44491</v>
      </c>
      <c r="BU310" s="116" t="s">
        <v>8</v>
      </c>
      <c r="BV310" s="115" t="s">
        <v>482</v>
      </c>
      <c r="BW310" s="116" t="s">
        <v>502</v>
      </c>
      <c r="BX310" s="115">
        <v>18400</v>
      </c>
      <c r="BY310" s="115">
        <v>41.7</v>
      </c>
      <c r="BZ310" s="115">
        <v>47.945</v>
      </c>
      <c r="CA310" s="119">
        <v>-3216.6708800000001</v>
      </c>
      <c r="CB310" s="115">
        <v>1.1497601918465228</v>
      </c>
      <c r="CC310" s="115">
        <v>500</v>
      </c>
      <c r="CD310" s="115">
        <v>50</v>
      </c>
      <c r="CE310" s="119">
        <v>20850</v>
      </c>
    </row>
    <row r="311" spans="1:83" hidden="1">
      <c r="A311" s="13">
        <f t="shared" si="753"/>
        <v>304</v>
      </c>
      <c r="B311" s="123">
        <v>44708</v>
      </c>
      <c r="C311" s="116" t="s">
        <v>8</v>
      </c>
      <c r="D311" s="116">
        <v>1</v>
      </c>
      <c r="E311" s="115" t="s">
        <v>481</v>
      </c>
      <c r="F311" s="116" t="s">
        <v>399</v>
      </c>
      <c r="G311" s="115">
        <v>1660</v>
      </c>
      <c r="H311" s="117">
        <v>44742</v>
      </c>
      <c r="I311" s="115">
        <v>575</v>
      </c>
      <c r="J311" s="115">
        <v>23.7</v>
      </c>
      <c r="K311" s="115">
        <v>0.2</v>
      </c>
      <c r="L311" s="119">
        <f t="shared" ref="L311" ca="1" si="1143">IF(AND(K311&lt;&gt;0,I311&lt;&gt;0),(IF(C311="B",1,-1))*(K311-J311)*I311-AK311*2,0)*$D311*IF(MONTH($B$2)=MONTH($H311),1,0)</f>
        <v>0</v>
      </c>
      <c r="M311" s="119">
        <f t="shared" ref="M311" si="1144">IF(AND(K311&lt;&gt;0,I311&lt;&gt;0),(IF(C311="B",1,-1))*(K311-J311)*I311-AK311*2,0)*$D311</f>
        <v>13512.5</v>
      </c>
      <c r="N311" s="115">
        <f t="shared" ref="N311" si="1145">K311/$J311</f>
        <v>8.4388185654008449E-3</v>
      </c>
      <c r="O311" s="156">
        <f t="shared" ref="O311" si="1146">J311*(1+$O$6*IF(C311="B",-1,1))</f>
        <v>29.625</v>
      </c>
      <c r="P311" s="160">
        <f t="shared" si="754"/>
        <v>13627.5</v>
      </c>
      <c r="Q311" s="160" t="e">
        <f t="shared" ref="Q311" si="1147">(W311-J311)*I311*IF(C311="B",1,-1)*IF(K311=0,1,0)</f>
        <v>#N/A</v>
      </c>
      <c r="R311" s="153" t="e">
        <f t="shared" ca="1" si="876"/>
        <v>#VALUE!</v>
      </c>
      <c r="S311" s="119">
        <f t="shared" ref="S311" si="1148">(1-$S$6)*J311</f>
        <v>2.3699999999999992</v>
      </c>
      <c r="T311" s="115" t="e">
        <f>VLOOKUP(TRIM($F311),Reference!B:C,2,0)</f>
        <v>#VALUE!</v>
      </c>
      <c r="U311" s="170">
        <f t="shared" ref="U311" ca="1" si="1149">AC311</f>
        <v>0</v>
      </c>
      <c r="V311" s="120" t="str">
        <f t="shared" si="865"/>
        <v>LT22JUN1660CE</v>
      </c>
      <c r="W311" s="158" t="e">
        <f>VLOOKUP($V311,Reference!BA:BD,4,0)</f>
        <v>#N/A</v>
      </c>
      <c r="X311" s="160">
        <f t="shared" ca="1" si="866"/>
        <v>0</v>
      </c>
      <c r="Y311" s="160">
        <f t="shared" ca="1" si="867"/>
        <v>0</v>
      </c>
      <c r="Z311" s="160">
        <f t="shared" ca="1" si="879"/>
        <v>0</v>
      </c>
      <c r="AA311" s="160">
        <f t="shared" ca="1" si="868"/>
        <v>0</v>
      </c>
      <c r="AB311" s="160">
        <f t="shared" ca="1" si="869"/>
        <v>0</v>
      </c>
      <c r="AC311" s="119">
        <f t="shared" ca="1" si="870"/>
        <v>0</v>
      </c>
      <c r="AD311" s="115">
        <f t="shared" ref="AD311" ca="1" si="1150">(H311-TODAY())/365</f>
        <v>-1.210958904109589</v>
      </c>
      <c r="AE311" s="115">
        <f t="shared" ref="AE311" si="1151">IF(I311&lt;&gt;0,20,0)</f>
        <v>20</v>
      </c>
      <c r="AF311" s="115"/>
      <c r="AG311" s="115"/>
      <c r="AH311" s="115">
        <f t="shared" si="755"/>
        <v>6.8137499999999998</v>
      </c>
      <c r="AI311" s="115"/>
      <c r="AJ311" s="115">
        <f t="shared" si="756"/>
        <v>0</v>
      </c>
      <c r="AK311" s="115"/>
      <c r="AL311" s="142"/>
      <c r="AM311" s="153"/>
      <c r="AN311" s="153"/>
      <c r="AO311" s="153"/>
      <c r="AP311" s="153"/>
      <c r="AQ311" s="153"/>
      <c r="AR311" s="153"/>
      <c r="AS311" s="153"/>
      <c r="AT311" s="153"/>
      <c r="AU311" s="153"/>
      <c r="AV311" s="153"/>
      <c r="AW311" s="153"/>
      <c r="AX311" s="153"/>
      <c r="AY311" s="153"/>
      <c r="AZ311" s="153"/>
      <c r="BA311" s="153"/>
      <c r="BB311" s="153"/>
      <c r="BC311" s="153"/>
      <c r="BD311" s="153"/>
      <c r="BE311" s="153"/>
      <c r="BF311" s="153"/>
      <c r="BG311" s="153"/>
      <c r="BS311" s="13">
        <v>2</v>
      </c>
      <c r="BT311" s="123">
        <v>44491</v>
      </c>
      <c r="BU311" s="116" t="s">
        <v>8</v>
      </c>
      <c r="BV311" s="115" t="s">
        <v>482</v>
      </c>
      <c r="BW311" s="116" t="s">
        <v>502</v>
      </c>
      <c r="BX311" s="115">
        <v>18400</v>
      </c>
      <c r="BY311" s="115">
        <v>41.7</v>
      </c>
      <c r="BZ311" s="115">
        <v>47.945</v>
      </c>
      <c r="CA311" s="119">
        <v>-3216.6708800000001</v>
      </c>
      <c r="CB311" s="115">
        <v>1.1497601918465228</v>
      </c>
      <c r="CC311" s="115">
        <v>500</v>
      </c>
      <c r="CD311" s="115">
        <v>50</v>
      </c>
      <c r="CE311" s="119">
        <v>20850</v>
      </c>
    </row>
    <row r="312" spans="1:83" hidden="1">
      <c r="A312" s="13">
        <f t="shared" si="753"/>
        <v>305</v>
      </c>
      <c r="B312" s="123">
        <v>44708</v>
      </c>
      <c r="C312" s="116" t="s">
        <v>8</v>
      </c>
      <c r="D312" s="116">
        <v>1</v>
      </c>
      <c r="E312" s="115" t="s">
        <v>481</v>
      </c>
      <c r="F312" s="116" t="s">
        <v>502</v>
      </c>
      <c r="G312" s="115">
        <v>17000</v>
      </c>
      <c r="H312" s="117">
        <v>44742</v>
      </c>
      <c r="I312" s="115">
        <v>50</v>
      </c>
      <c r="J312" s="115">
        <v>119</v>
      </c>
      <c r="K312" s="115">
        <v>1.35</v>
      </c>
      <c r="L312" s="119">
        <f t="shared" ref="L312" ca="1" si="1152">IF(AND(K312&lt;&gt;0,I312&lt;&gt;0),(IF(C312="B",1,-1))*(K312-J312)*I312-AK312*2,0)*$D312*IF(MONTH($B$2)=MONTH($H312),1,0)</f>
        <v>0</v>
      </c>
      <c r="M312" s="119">
        <f t="shared" ref="M312" si="1153">IF(AND(K312&lt;&gt;0,I312&lt;&gt;0),(IF(C312="B",1,-1))*(K312-J312)*I312-AK312*2,0)*$D312</f>
        <v>5882.5</v>
      </c>
      <c r="N312" s="115">
        <f t="shared" ref="N312" si="1154">K312/$J312</f>
        <v>1.1344537815126052E-2</v>
      </c>
      <c r="O312" s="156">
        <f t="shared" ref="O312" si="1155">J312*(1+$O$6*IF(C312="B",-1,1))</f>
        <v>148.75</v>
      </c>
      <c r="P312" s="160">
        <f t="shared" si="754"/>
        <v>5950</v>
      </c>
      <c r="Q312" s="160" t="e">
        <f t="shared" ref="Q312" si="1156">(W312-J312)*I312*IF(C312="B",1,-1)*IF(K312=0,1,0)</f>
        <v>#N/A</v>
      </c>
      <c r="R312" s="153" t="e">
        <f t="shared" ca="1" si="876"/>
        <v>#VALUE!</v>
      </c>
      <c r="S312" s="119">
        <f t="shared" ref="S312" si="1157">(1-$S$6)*J312</f>
        <v>11.899999999999997</v>
      </c>
      <c r="T312" s="115" t="str">
        <f>VLOOKUP(TRIM($F312),Reference!B:C,2,0)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12" s="170">
        <f t="shared" ref="U312" ca="1" si="1158">AC312</f>
        <v>0</v>
      </c>
      <c r="V312" s="120" t="str">
        <f t="shared" si="865"/>
        <v>NIFTY22JUN17000CE</v>
      </c>
      <c r="W312" s="158" t="e">
        <f>VLOOKUP($V312,Reference!BA:BD,4,0)</f>
        <v>#N/A</v>
      </c>
      <c r="X312" s="160">
        <f t="shared" ca="1" si="866"/>
        <v>0</v>
      </c>
      <c r="Y312" s="160">
        <f t="shared" ca="1" si="867"/>
        <v>0</v>
      </c>
      <c r="Z312" s="160">
        <f t="shared" ca="1" si="879"/>
        <v>0</v>
      </c>
      <c r="AA312" s="160">
        <f t="shared" ca="1" si="868"/>
        <v>0</v>
      </c>
      <c r="AB312" s="160">
        <f t="shared" ca="1" si="869"/>
        <v>0</v>
      </c>
      <c r="AC312" s="119">
        <f t="shared" ca="1" si="870"/>
        <v>0</v>
      </c>
      <c r="AD312" s="115">
        <f t="shared" ref="AD312" ca="1" si="1159">(H312-TODAY())/365</f>
        <v>-1.210958904109589</v>
      </c>
      <c r="AE312" s="115">
        <f t="shared" ref="AE312" si="1160">IF(I312&lt;&gt;0,20,0)</f>
        <v>20</v>
      </c>
      <c r="AF312" s="115"/>
      <c r="AG312" s="115"/>
      <c r="AH312" s="115">
        <f t="shared" si="755"/>
        <v>2.9750000000000001</v>
      </c>
      <c r="AI312" s="115"/>
      <c r="AJ312" s="115">
        <f t="shared" si="756"/>
        <v>0</v>
      </c>
      <c r="AK312" s="115"/>
      <c r="AL312" s="142"/>
      <c r="AM312" s="153"/>
      <c r="AN312" s="153"/>
      <c r="AO312" s="153"/>
      <c r="AP312" s="153"/>
      <c r="AQ312" s="153"/>
      <c r="AR312" s="153"/>
      <c r="AS312" s="153"/>
      <c r="AT312" s="153"/>
      <c r="AU312" s="153"/>
      <c r="AV312" s="153"/>
      <c r="AW312" s="153"/>
      <c r="AX312" s="153"/>
      <c r="AY312" s="153"/>
      <c r="AZ312" s="153"/>
      <c r="BA312" s="153"/>
      <c r="BB312" s="153"/>
      <c r="BC312" s="153"/>
      <c r="BD312" s="153"/>
      <c r="BE312" s="153"/>
      <c r="BF312" s="153"/>
      <c r="BG312" s="153"/>
      <c r="BS312" s="13">
        <v>2</v>
      </c>
      <c r="BT312" s="123">
        <v>44491</v>
      </c>
      <c r="BU312" s="116" t="s">
        <v>8</v>
      </c>
      <c r="BV312" s="115" t="s">
        <v>482</v>
      </c>
      <c r="BW312" s="116" t="s">
        <v>502</v>
      </c>
      <c r="BX312" s="115">
        <v>18400</v>
      </c>
      <c r="BY312" s="115">
        <v>41.7</v>
      </c>
      <c r="BZ312" s="115">
        <v>47.945</v>
      </c>
      <c r="CA312" s="119">
        <v>-3216.6708800000001</v>
      </c>
      <c r="CB312" s="115">
        <v>1.1497601918465228</v>
      </c>
      <c r="CC312" s="115">
        <v>500</v>
      </c>
      <c r="CD312" s="115">
        <v>50</v>
      </c>
      <c r="CE312" s="119">
        <v>20850</v>
      </c>
    </row>
    <row r="313" spans="1:83" hidden="1">
      <c r="A313" s="13">
        <f t="shared" si="753"/>
        <v>306</v>
      </c>
      <c r="B313" s="123">
        <v>44708</v>
      </c>
      <c r="C313" s="116" t="s">
        <v>8</v>
      </c>
      <c r="D313" s="116">
        <v>1</v>
      </c>
      <c r="E313" s="115" t="s">
        <v>481</v>
      </c>
      <c r="F313" s="116" t="s">
        <v>502</v>
      </c>
      <c r="G313" s="115">
        <v>17000</v>
      </c>
      <c r="H313" s="117">
        <v>44742</v>
      </c>
      <c r="I313" s="115">
        <v>50</v>
      </c>
      <c r="J313" s="115">
        <v>120</v>
      </c>
      <c r="K313" s="115">
        <v>1.35</v>
      </c>
      <c r="L313" s="119">
        <f t="shared" ref="L313" ca="1" si="1161">IF(AND(K313&lt;&gt;0,I313&lt;&gt;0),(IF(C313="B",1,-1))*(K313-J313)*I313-AK313*2,0)*$D313*IF(MONTH($B$2)=MONTH($H313),1,0)</f>
        <v>0</v>
      </c>
      <c r="M313" s="119">
        <f t="shared" ref="M313" si="1162">IF(AND(K313&lt;&gt;0,I313&lt;&gt;0),(IF(C313="B",1,-1))*(K313-J313)*I313-AK313*2,0)*$D313</f>
        <v>5932.5</v>
      </c>
      <c r="N313" s="115">
        <f t="shared" ref="N313" si="1163">K313/$J313</f>
        <v>1.1250000000000001E-2</v>
      </c>
      <c r="O313" s="156">
        <f t="shared" ref="O313" si="1164">J313*(1+$O$6*IF(C313="B",-1,1))</f>
        <v>150</v>
      </c>
      <c r="P313" s="160">
        <f t="shared" si="754"/>
        <v>6000</v>
      </c>
      <c r="Q313" s="160" t="e">
        <f t="shared" ref="Q313" si="1165">(W313-J313)*I313*IF(C313="B",1,-1)*IF(K313=0,1,0)</f>
        <v>#N/A</v>
      </c>
      <c r="R313" s="153" t="e">
        <f t="shared" ca="1" si="876"/>
        <v>#VALUE!</v>
      </c>
      <c r="S313" s="119">
        <f t="shared" ref="S313" si="1166">(1-$S$6)*J313</f>
        <v>11.999999999999996</v>
      </c>
      <c r="T313" s="115" t="str">
        <f>VLOOKUP(TRIM($F313),Reference!B:C,2,0)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13" s="170">
        <f t="shared" ref="U313" ca="1" si="1167">AC313</f>
        <v>0</v>
      </c>
      <c r="V313" s="120" t="str">
        <f t="shared" si="865"/>
        <v>NIFTY22JUN17000CE</v>
      </c>
      <c r="W313" s="158" t="e">
        <f>VLOOKUP($V313,Reference!BA:BD,4,0)</f>
        <v>#N/A</v>
      </c>
      <c r="X313" s="160">
        <f t="shared" ca="1" si="866"/>
        <v>0</v>
      </c>
      <c r="Y313" s="160">
        <f t="shared" ca="1" si="867"/>
        <v>0</v>
      </c>
      <c r="Z313" s="160">
        <f t="shared" ca="1" si="879"/>
        <v>0</v>
      </c>
      <c r="AA313" s="160">
        <f t="shared" ca="1" si="868"/>
        <v>0</v>
      </c>
      <c r="AB313" s="160">
        <f t="shared" ca="1" si="869"/>
        <v>0</v>
      </c>
      <c r="AC313" s="119">
        <f t="shared" ca="1" si="870"/>
        <v>0</v>
      </c>
      <c r="AD313" s="115">
        <f t="shared" ref="AD313" ca="1" si="1168">(H313-TODAY())/365</f>
        <v>-1.210958904109589</v>
      </c>
      <c r="AE313" s="115">
        <f t="shared" ref="AE313" si="1169">IF(I313&lt;&gt;0,20,0)</f>
        <v>20</v>
      </c>
      <c r="AF313" s="115"/>
      <c r="AG313" s="115"/>
      <c r="AH313" s="115">
        <f t="shared" si="755"/>
        <v>3</v>
      </c>
      <c r="AI313" s="115"/>
      <c r="AJ313" s="115">
        <f t="shared" si="756"/>
        <v>0</v>
      </c>
      <c r="AK313" s="115"/>
      <c r="AL313" s="142"/>
      <c r="AM313" s="153"/>
      <c r="AN313" s="153"/>
      <c r="AO313" s="153"/>
      <c r="AP313" s="153"/>
      <c r="AQ313" s="153"/>
      <c r="AR313" s="153"/>
      <c r="AS313" s="153"/>
      <c r="AT313" s="153"/>
      <c r="AU313" s="153"/>
      <c r="AV313" s="153"/>
      <c r="AW313" s="153"/>
      <c r="AX313" s="153"/>
      <c r="AY313" s="153"/>
      <c r="AZ313" s="153"/>
      <c r="BA313" s="153"/>
      <c r="BB313" s="153"/>
      <c r="BC313" s="153"/>
      <c r="BD313" s="153"/>
      <c r="BE313" s="153"/>
      <c r="BF313" s="153"/>
      <c r="BG313" s="153"/>
      <c r="BS313" s="13">
        <v>2</v>
      </c>
      <c r="BT313" s="123">
        <v>44491</v>
      </c>
      <c r="BU313" s="116" t="s">
        <v>8</v>
      </c>
      <c r="BV313" s="115" t="s">
        <v>482</v>
      </c>
      <c r="BW313" s="116" t="s">
        <v>502</v>
      </c>
      <c r="BX313" s="115">
        <v>18400</v>
      </c>
      <c r="BY313" s="115">
        <v>41.7</v>
      </c>
      <c r="BZ313" s="115">
        <v>47.945</v>
      </c>
      <c r="CA313" s="119">
        <v>-3216.6708800000001</v>
      </c>
      <c r="CB313" s="115">
        <v>1.1497601918465228</v>
      </c>
      <c r="CC313" s="115">
        <v>500</v>
      </c>
      <c r="CD313" s="115">
        <v>50</v>
      </c>
      <c r="CE313" s="119">
        <v>20850</v>
      </c>
    </row>
    <row r="314" spans="1:83" hidden="1">
      <c r="A314" s="13">
        <f t="shared" si="753"/>
        <v>307</v>
      </c>
      <c r="B314" s="123">
        <v>44708</v>
      </c>
      <c r="C314" s="116" t="s">
        <v>8</v>
      </c>
      <c r="D314" s="116">
        <v>1</v>
      </c>
      <c r="E314" s="115" t="s">
        <v>482</v>
      </c>
      <c r="F314" s="116" t="s">
        <v>502</v>
      </c>
      <c r="G314" s="115">
        <v>15850</v>
      </c>
      <c r="H314" s="117">
        <v>44742</v>
      </c>
      <c r="I314" s="115">
        <v>50</v>
      </c>
      <c r="J314" s="115">
        <v>206.25</v>
      </c>
      <c r="K314" s="115">
        <v>429.4</v>
      </c>
      <c r="L314" s="119">
        <f ca="1">IF(AND(K314&lt;&gt;0,I314&lt;&gt;0),(IF(C314="B",1,-1))*(K314-J314)*I314-AK314*2,0)*$D314*IF(MONTH($B$2)=MONTH($H314),1,0)</f>
        <v>0</v>
      </c>
      <c r="M314" s="119">
        <f>IF(AND(K314&lt;&gt;0,I314&lt;&gt;0),(IF(C314="B",1,-1))*(K314-J314)*I314-AK314*2,0)*$D314</f>
        <v>-11157.499999999998</v>
      </c>
      <c r="N314" s="115">
        <f t="shared" ref="N314" si="1170">K314/$J314</f>
        <v>2.0819393939393938</v>
      </c>
      <c r="O314" s="156">
        <f t="shared" ref="O314" si="1171">J314*(1+$O$6*IF(C314="B",-1,1))</f>
        <v>257.8125</v>
      </c>
      <c r="P314" s="160">
        <f t="shared" si="754"/>
        <v>10312.5</v>
      </c>
      <c r="Q314" s="160" t="e">
        <f t="shared" ref="Q314" si="1172">(W314-J314)*I314*IF(C314="B",1,-1)*IF(K314=0,1,0)</f>
        <v>#N/A</v>
      </c>
      <c r="R314" s="153" t="e">
        <f t="shared" ca="1" si="876"/>
        <v>#VALUE!</v>
      </c>
      <c r="S314" s="119">
        <f t="shared" ref="S314" si="1173">(1-$S$6)*J314</f>
        <v>20.624999999999996</v>
      </c>
      <c r="T314" s="115" t="str">
        <f>VLOOKUP(TRIM($F314),Reference!B:C,2,0)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14" s="170">
        <f t="shared" ref="U314" ca="1" si="1174">AC314</f>
        <v>0</v>
      </c>
      <c r="V314" s="120" t="str">
        <f t="shared" si="865"/>
        <v>NIFTY22JUN15850PE</v>
      </c>
      <c r="W314" s="158" t="e">
        <f>VLOOKUP($V314,Reference!BA:BD,4,0)</f>
        <v>#N/A</v>
      </c>
      <c r="X314" s="160">
        <f t="shared" ca="1" si="866"/>
        <v>0</v>
      </c>
      <c r="Y314" s="160">
        <f t="shared" ca="1" si="867"/>
        <v>0</v>
      </c>
      <c r="Z314" s="160">
        <f t="shared" ca="1" si="879"/>
        <v>0</v>
      </c>
      <c r="AA314" s="160">
        <f t="shared" ca="1" si="868"/>
        <v>0</v>
      </c>
      <c r="AB314" s="160">
        <f t="shared" ca="1" si="869"/>
        <v>0</v>
      </c>
      <c r="AC314" s="119">
        <f t="shared" ca="1" si="870"/>
        <v>0</v>
      </c>
      <c r="AD314" s="115">
        <f t="shared" ref="AD314" ca="1" si="1175">(H314-TODAY())/365</f>
        <v>-1.210958904109589</v>
      </c>
      <c r="AE314" s="115">
        <f t="shared" ref="AE314" si="1176">IF(I314&lt;&gt;0,20,0)</f>
        <v>20</v>
      </c>
      <c r="AF314" s="115"/>
      <c r="AG314" s="115"/>
      <c r="AH314" s="115">
        <f t="shared" si="755"/>
        <v>5.15625</v>
      </c>
      <c r="AI314" s="115"/>
      <c r="AJ314" s="115">
        <f t="shared" si="756"/>
        <v>0</v>
      </c>
      <c r="AK314" s="115"/>
      <c r="AL314" s="142"/>
      <c r="AM314" s="153"/>
      <c r="AN314" s="153"/>
      <c r="AO314" s="153"/>
      <c r="AP314" s="153"/>
      <c r="AQ314" s="153"/>
      <c r="AR314" s="153"/>
      <c r="AS314" s="153"/>
      <c r="AT314" s="153"/>
      <c r="AU314" s="153"/>
      <c r="AV314" s="153"/>
      <c r="AW314" s="153"/>
      <c r="AX314" s="153"/>
      <c r="AY314" s="153"/>
      <c r="AZ314" s="153"/>
      <c r="BA314" s="153"/>
      <c r="BB314" s="153"/>
      <c r="BC314" s="153"/>
      <c r="BD314" s="153"/>
      <c r="BE314" s="153"/>
      <c r="BF314" s="153"/>
      <c r="BG314" s="153"/>
      <c r="BS314" s="13">
        <v>2</v>
      </c>
      <c r="BT314" s="123">
        <v>44491</v>
      </c>
      <c r="BU314" s="116" t="s">
        <v>8</v>
      </c>
      <c r="BV314" s="115" t="s">
        <v>482</v>
      </c>
      <c r="BW314" s="116" t="s">
        <v>502</v>
      </c>
      <c r="BX314" s="115">
        <v>18400</v>
      </c>
      <c r="BY314" s="115">
        <v>41.7</v>
      </c>
      <c r="BZ314" s="115">
        <v>47.945</v>
      </c>
      <c r="CA314" s="119">
        <v>-3216.6708800000001</v>
      </c>
      <c r="CB314" s="115">
        <v>1.1497601918465228</v>
      </c>
      <c r="CC314" s="115">
        <v>500</v>
      </c>
      <c r="CD314" s="115">
        <v>50</v>
      </c>
      <c r="CE314" s="119">
        <v>20850</v>
      </c>
    </row>
    <row r="315" spans="1:83" hidden="1">
      <c r="A315" s="13">
        <f t="shared" si="753"/>
        <v>308</v>
      </c>
      <c r="B315" s="123">
        <v>44708</v>
      </c>
      <c r="C315" s="116" t="s">
        <v>8</v>
      </c>
      <c r="D315" s="116">
        <v>1</v>
      </c>
      <c r="E315" s="115" t="s">
        <v>482</v>
      </c>
      <c r="F315" s="116" t="s">
        <v>502</v>
      </c>
      <c r="G315" s="115">
        <v>15800</v>
      </c>
      <c r="H315" s="117">
        <v>44742</v>
      </c>
      <c r="I315" s="115">
        <v>50</v>
      </c>
      <c r="J315" s="115">
        <v>193.65</v>
      </c>
      <c r="K315" s="115">
        <v>113.5</v>
      </c>
      <c r="L315" s="119">
        <f t="shared" ref="L315:L317" ca="1" si="1177">IF(AND(K315&lt;&gt;0,I315&lt;&gt;0),(IF(C315="B",1,-1))*(K315-J315)*I315-AK315*2,0)*$D315*IF(MONTH($B$2)=MONTH($H315),1,0)</f>
        <v>0</v>
      </c>
      <c r="M315" s="119">
        <f t="shared" ref="M315:M317" si="1178">IF(AND(K315&lt;&gt;0,I315&lt;&gt;0),(IF(C315="B",1,-1))*(K315-J315)*I315-AK315*2,0)*$D315</f>
        <v>4007.5000000000005</v>
      </c>
      <c r="N315" s="115">
        <f t="shared" ref="N315:N317" si="1179">K315/$J315</f>
        <v>0.58610895946294861</v>
      </c>
      <c r="O315" s="156">
        <f t="shared" ref="O315:O317" si="1180">J315*(1+$O$6*IF(C315="B",-1,1))</f>
        <v>242.0625</v>
      </c>
      <c r="P315" s="160">
        <f t="shared" si="754"/>
        <v>9682.5</v>
      </c>
      <c r="Q315" s="160" t="e">
        <f t="shared" ref="Q315:Q317" si="1181">(W315-J315)*I315*IF(C315="B",1,-1)*IF(K315=0,1,0)</f>
        <v>#N/A</v>
      </c>
      <c r="R315" s="153" t="e">
        <f t="shared" ca="1" si="876"/>
        <v>#VALUE!</v>
      </c>
      <c r="S315" s="119">
        <f t="shared" ref="S315:S317" si="1182">(1-$S$6)*J315</f>
        <v>19.364999999999995</v>
      </c>
      <c r="T315" s="115" t="str">
        <f>VLOOKUP(TRIM($F315),Reference!B:C,2,0)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15" s="170">
        <f t="shared" ref="U315:U317" ca="1" si="1183">AC315</f>
        <v>0</v>
      </c>
      <c r="V315" s="120" t="str">
        <f t="shared" si="865"/>
        <v>NIFTY22JUN15800PE</v>
      </c>
      <c r="W315" s="158" t="e">
        <f>VLOOKUP($V315,Reference!BA:BD,4,0)</f>
        <v>#N/A</v>
      </c>
      <c r="X315" s="160">
        <f t="shared" ca="1" si="866"/>
        <v>0</v>
      </c>
      <c r="Y315" s="160">
        <f t="shared" ca="1" si="867"/>
        <v>0</v>
      </c>
      <c r="Z315" s="160">
        <f t="shared" ca="1" si="879"/>
        <v>0</v>
      </c>
      <c r="AA315" s="160">
        <f t="shared" ca="1" si="868"/>
        <v>0</v>
      </c>
      <c r="AB315" s="160">
        <f t="shared" ca="1" si="869"/>
        <v>0</v>
      </c>
      <c r="AC315" s="119">
        <f t="shared" ca="1" si="870"/>
        <v>0</v>
      </c>
      <c r="AD315" s="115">
        <f t="shared" ref="AD315:AD317" ca="1" si="1184">(H315-TODAY())/365</f>
        <v>-1.210958904109589</v>
      </c>
      <c r="AE315" s="115">
        <f t="shared" ref="AE315:AE317" si="1185">IF(I315&lt;&gt;0,20,0)</f>
        <v>20</v>
      </c>
      <c r="AF315" s="115"/>
      <c r="AG315" s="115"/>
      <c r="AH315" s="115">
        <f t="shared" si="755"/>
        <v>4.8412500000000005</v>
      </c>
      <c r="AI315" s="115"/>
      <c r="AJ315" s="115">
        <f t="shared" si="756"/>
        <v>0</v>
      </c>
      <c r="AK315" s="115"/>
      <c r="AL315" s="142"/>
      <c r="AM315" s="153"/>
      <c r="AN315" s="153"/>
      <c r="AO315" s="153"/>
      <c r="AP315" s="153"/>
      <c r="AQ315" s="153"/>
      <c r="AR315" s="153"/>
      <c r="AS315" s="153"/>
      <c r="AT315" s="153"/>
      <c r="AU315" s="153"/>
      <c r="AV315" s="153"/>
      <c r="AW315" s="153"/>
      <c r="AX315" s="153"/>
      <c r="AY315" s="153"/>
      <c r="AZ315" s="153"/>
      <c r="BA315" s="153"/>
      <c r="BB315" s="153"/>
      <c r="BC315" s="153"/>
      <c r="BD315" s="153"/>
      <c r="BE315" s="153"/>
      <c r="BF315" s="153"/>
      <c r="BG315" s="153"/>
      <c r="BS315" s="13">
        <v>2</v>
      </c>
      <c r="BT315" s="123">
        <v>44491</v>
      </c>
      <c r="BU315" s="116" t="s">
        <v>8</v>
      </c>
      <c r="BV315" s="115" t="s">
        <v>482</v>
      </c>
      <c r="BW315" s="116" t="s">
        <v>502</v>
      </c>
      <c r="BX315" s="115">
        <v>18400</v>
      </c>
      <c r="BY315" s="115">
        <v>41.7</v>
      </c>
      <c r="BZ315" s="115">
        <v>47.945</v>
      </c>
      <c r="CA315" s="119">
        <v>-3216.6708800000001</v>
      </c>
      <c r="CB315" s="115">
        <v>1.1497601918465228</v>
      </c>
      <c r="CC315" s="115">
        <v>500</v>
      </c>
      <c r="CD315" s="115">
        <v>50</v>
      </c>
      <c r="CE315" s="119">
        <v>20850</v>
      </c>
    </row>
    <row r="316" spans="1:83" hidden="1">
      <c r="A316" s="13">
        <f t="shared" si="753"/>
        <v>309</v>
      </c>
      <c r="B316" s="123">
        <v>44708</v>
      </c>
      <c r="C316" s="116" t="s">
        <v>8</v>
      </c>
      <c r="D316" s="116">
        <v>1</v>
      </c>
      <c r="E316" s="115" t="s">
        <v>482</v>
      </c>
      <c r="F316" s="116" t="s">
        <v>502</v>
      </c>
      <c r="G316" s="115">
        <v>15750</v>
      </c>
      <c r="H316" s="117">
        <v>44742</v>
      </c>
      <c r="I316" s="115">
        <v>50</v>
      </c>
      <c r="J316" s="115">
        <v>179.9</v>
      </c>
      <c r="K316" s="115">
        <v>92.25</v>
      </c>
      <c r="L316" s="119">
        <f t="shared" ca="1" si="1177"/>
        <v>0</v>
      </c>
      <c r="M316" s="119">
        <f t="shared" si="1178"/>
        <v>4382.5</v>
      </c>
      <c r="N316" s="115">
        <f t="shared" si="1179"/>
        <v>0.5127848804891606</v>
      </c>
      <c r="O316" s="156">
        <f t="shared" si="1180"/>
        <v>224.875</v>
      </c>
      <c r="P316" s="160">
        <f t="shared" si="754"/>
        <v>8995</v>
      </c>
      <c r="Q316" s="160" t="e">
        <f t="shared" si="1181"/>
        <v>#N/A</v>
      </c>
      <c r="R316" s="153" t="e">
        <f t="shared" ca="1" si="876"/>
        <v>#VALUE!</v>
      </c>
      <c r="S316" s="119">
        <f t="shared" si="1182"/>
        <v>17.989999999999995</v>
      </c>
      <c r="T316" s="115" t="str">
        <f>VLOOKUP(TRIM($F316),Reference!B:C,2,0)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16" s="170">
        <f t="shared" ca="1" si="1183"/>
        <v>0</v>
      </c>
      <c r="V316" s="120" t="str">
        <f t="shared" si="865"/>
        <v>NIFTY22JUN15750PE</v>
      </c>
      <c r="W316" s="158" t="e">
        <f>VLOOKUP($V316,Reference!BA:BD,4,0)</f>
        <v>#N/A</v>
      </c>
      <c r="X316" s="160">
        <f t="shared" ca="1" si="866"/>
        <v>0</v>
      </c>
      <c r="Y316" s="160">
        <f t="shared" ca="1" si="867"/>
        <v>0</v>
      </c>
      <c r="Z316" s="160">
        <f t="shared" ca="1" si="879"/>
        <v>0</v>
      </c>
      <c r="AA316" s="160">
        <f t="shared" ca="1" si="868"/>
        <v>0</v>
      </c>
      <c r="AB316" s="160">
        <f t="shared" ca="1" si="869"/>
        <v>0</v>
      </c>
      <c r="AC316" s="119">
        <f t="shared" ca="1" si="870"/>
        <v>0</v>
      </c>
      <c r="AD316" s="115">
        <f t="shared" ca="1" si="1184"/>
        <v>-1.210958904109589</v>
      </c>
      <c r="AE316" s="115">
        <f t="shared" si="1185"/>
        <v>20</v>
      </c>
      <c r="AF316" s="115"/>
      <c r="AG316" s="115"/>
      <c r="AH316" s="115">
        <f t="shared" si="755"/>
        <v>4.4975000000000005</v>
      </c>
      <c r="AI316" s="115"/>
      <c r="AJ316" s="115">
        <f t="shared" si="756"/>
        <v>0</v>
      </c>
      <c r="AK316" s="115"/>
      <c r="AL316" s="142"/>
      <c r="AM316" s="153"/>
      <c r="AN316" s="153"/>
      <c r="AO316" s="153"/>
      <c r="AP316" s="153"/>
      <c r="AQ316" s="153"/>
      <c r="AR316" s="153"/>
      <c r="AS316" s="153"/>
      <c r="AT316" s="153"/>
      <c r="AU316" s="153"/>
      <c r="AV316" s="153"/>
      <c r="AW316" s="153"/>
      <c r="AX316" s="153"/>
      <c r="AY316" s="153"/>
      <c r="AZ316" s="153"/>
      <c r="BA316" s="153"/>
      <c r="BB316" s="153"/>
      <c r="BC316" s="153"/>
      <c r="BD316" s="153"/>
      <c r="BE316" s="153"/>
      <c r="BF316" s="153"/>
      <c r="BG316" s="153"/>
      <c r="BS316" s="13">
        <v>2</v>
      </c>
      <c r="BT316" s="123">
        <v>44491</v>
      </c>
      <c r="BU316" s="116" t="s">
        <v>8</v>
      </c>
      <c r="BV316" s="115" t="s">
        <v>482</v>
      </c>
      <c r="BW316" s="116" t="s">
        <v>502</v>
      </c>
      <c r="BX316" s="115">
        <v>18400</v>
      </c>
      <c r="BY316" s="115">
        <v>41.7</v>
      </c>
      <c r="BZ316" s="115">
        <v>47.945</v>
      </c>
      <c r="CA316" s="119">
        <v>-3216.6708800000001</v>
      </c>
      <c r="CB316" s="115">
        <v>1.1497601918465228</v>
      </c>
      <c r="CC316" s="115">
        <v>500</v>
      </c>
      <c r="CD316" s="115">
        <v>50</v>
      </c>
      <c r="CE316" s="119">
        <v>20850</v>
      </c>
    </row>
    <row r="317" spans="1:83" hidden="1">
      <c r="A317" s="13">
        <f t="shared" si="753"/>
        <v>310</v>
      </c>
      <c r="B317" s="123">
        <v>44708</v>
      </c>
      <c r="C317" s="116" t="s">
        <v>8</v>
      </c>
      <c r="D317" s="116">
        <v>1</v>
      </c>
      <c r="E317" s="115" t="s">
        <v>481</v>
      </c>
      <c r="F317" s="116" t="s">
        <v>284</v>
      </c>
      <c r="G317" s="115">
        <v>470</v>
      </c>
      <c r="H317" s="117">
        <v>44742</v>
      </c>
      <c r="I317" s="115">
        <v>1425</v>
      </c>
      <c r="J317" s="115">
        <v>7.05</v>
      </c>
      <c r="K317" s="115">
        <v>0.25</v>
      </c>
      <c r="L317" s="119">
        <f t="shared" ca="1" si="1177"/>
        <v>0</v>
      </c>
      <c r="M317" s="119">
        <f t="shared" si="1178"/>
        <v>9690</v>
      </c>
      <c r="N317" s="115">
        <f t="shared" si="1179"/>
        <v>3.5460992907801421E-2</v>
      </c>
      <c r="O317" s="156">
        <f t="shared" si="1180"/>
        <v>8.8125</v>
      </c>
      <c r="P317" s="160">
        <f t="shared" si="754"/>
        <v>10046.25</v>
      </c>
      <c r="Q317" s="160" t="e">
        <f t="shared" si="1181"/>
        <v>#N/A</v>
      </c>
      <c r="R317" s="153" t="e">
        <f t="shared" ca="1" si="876"/>
        <v>#VALUE!</v>
      </c>
      <c r="S317" s="119">
        <f t="shared" si="1182"/>
        <v>0.70499999999999985</v>
      </c>
      <c r="T317" s="115" t="e">
        <f>VLOOKUP(TRIM($F317),Reference!B:C,2,0)</f>
        <v>#VALUE!</v>
      </c>
      <c r="U317" s="170">
        <f t="shared" ca="1" si="1183"/>
        <v>0</v>
      </c>
      <c r="V317" s="120" t="str">
        <f t="shared" si="865"/>
        <v>TATAMOTORS22JUN470CE</v>
      </c>
      <c r="W317" s="158" t="e">
        <f>VLOOKUP($V317,Reference!BA:BD,4,0)</f>
        <v>#N/A</v>
      </c>
      <c r="X317" s="160">
        <f t="shared" ca="1" si="866"/>
        <v>0</v>
      </c>
      <c r="Y317" s="160">
        <f t="shared" ca="1" si="867"/>
        <v>0</v>
      </c>
      <c r="Z317" s="160">
        <f t="shared" ca="1" si="879"/>
        <v>0</v>
      </c>
      <c r="AA317" s="160">
        <f t="shared" ca="1" si="868"/>
        <v>0</v>
      </c>
      <c r="AB317" s="160">
        <f t="shared" ca="1" si="869"/>
        <v>0</v>
      </c>
      <c r="AC317" s="119">
        <f t="shared" ca="1" si="870"/>
        <v>0</v>
      </c>
      <c r="AD317" s="115">
        <f t="shared" ca="1" si="1184"/>
        <v>-1.210958904109589</v>
      </c>
      <c r="AE317" s="115">
        <f t="shared" si="1185"/>
        <v>20</v>
      </c>
      <c r="AF317" s="115"/>
      <c r="AG317" s="115"/>
      <c r="AH317" s="115">
        <f t="shared" si="755"/>
        <v>5.0231250000000003</v>
      </c>
      <c r="AI317" s="115"/>
      <c r="AJ317" s="115">
        <f t="shared" si="756"/>
        <v>0</v>
      </c>
      <c r="AK317" s="115"/>
      <c r="AL317" s="142"/>
      <c r="AM317" s="153"/>
      <c r="AN317" s="153"/>
      <c r="AO317" s="153"/>
      <c r="AP317" s="153"/>
      <c r="AQ317" s="153"/>
      <c r="AR317" s="153"/>
      <c r="AS317" s="153"/>
      <c r="AT317" s="153"/>
      <c r="AU317" s="153"/>
      <c r="AV317" s="153"/>
      <c r="AW317" s="153"/>
      <c r="AX317" s="153"/>
      <c r="AY317" s="153"/>
      <c r="AZ317" s="153"/>
      <c r="BA317" s="153"/>
      <c r="BB317" s="153"/>
      <c r="BC317" s="153"/>
      <c r="BD317" s="153"/>
      <c r="BE317" s="153"/>
      <c r="BF317" s="153"/>
      <c r="BG317" s="153"/>
      <c r="BS317" s="13">
        <v>2</v>
      </c>
      <c r="BT317" s="123">
        <v>44491</v>
      </c>
      <c r="BU317" s="116" t="s">
        <v>8</v>
      </c>
      <c r="BV317" s="115" t="s">
        <v>482</v>
      </c>
      <c r="BW317" s="116" t="s">
        <v>502</v>
      </c>
      <c r="BX317" s="115">
        <v>18400</v>
      </c>
      <c r="BY317" s="115">
        <v>41.7</v>
      </c>
      <c r="BZ317" s="115">
        <v>47.945</v>
      </c>
      <c r="CA317" s="119">
        <v>-3216.6708800000001</v>
      </c>
      <c r="CB317" s="115">
        <v>1.1497601918465228</v>
      </c>
      <c r="CC317" s="115">
        <v>500</v>
      </c>
      <c r="CD317" s="115">
        <v>50</v>
      </c>
      <c r="CE317" s="119">
        <v>20850</v>
      </c>
    </row>
    <row r="318" spans="1:83" hidden="1">
      <c r="A318" s="13">
        <f t="shared" si="753"/>
        <v>311</v>
      </c>
      <c r="B318" s="123">
        <v>44708</v>
      </c>
      <c r="C318" s="116" t="s">
        <v>6</v>
      </c>
      <c r="D318" s="116">
        <v>1</v>
      </c>
      <c r="E318" s="115" t="s">
        <v>482</v>
      </c>
      <c r="F318" s="116" t="s">
        <v>284</v>
      </c>
      <c r="G318" s="115">
        <v>400</v>
      </c>
      <c r="H318" s="117">
        <v>44770</v>
      </c>
      <c r="I318" s="115">
        <v>1425</v>
      </c>
      <c r="J318" s="115">
        <v>15.4</v>
      </c>
      <c r="K318" s="115">
        <v>9.0500000000000007</v>
      </c>
      <c r="L318" s="119">
        <f t="shared" ref="L318:L323" ca="1" si="1186">IF(AND(K318&lt;&gt;0,I318&lt;&gt;0),(IF(C318="B",1,-1))*(K318-J318)*I318-AK318*2,0)*$D318*IF(MONTH($B$2)=MONTH($H318),1,0)</f>
        <v>0</v>
      </c>
      <c r="M318" s="119">
        <f t="shared" ref="M318:M323" si="1187">IF(AND(K318&lt;&gt;0,I318&lt;&gt;0),(IF(C318="B",1,-1))*(K318-J318)*I318-AK318*2,0)*$D318</f>
        <v>-9048.75</v>
      </c>
      <c r="N318" s="115">
        <f t="shared" ref="N318:N323" si="1188">K318/$J318</f>
        <v>0.58766233766233766</v>
      </c>
      <c r="O318" s="156">
        <f t="shared" ref="O318:O323" si="1189">J318*(1+$O$6*IF(C318="B",-1,1))</f>
        <v>11.55</v>
      </c>
      <c r="P318" s="160">
        <f t="shared" si="754"/>
        <v>21945</v>
      </c>
      <c r="Q318" s="160" t="e">
        <f t="shared" ref="Q318:Q323" si="1190">(W318-J318)*I318*IF(C318="B",1,-1)*IF(K318=0,1,0)</f>
        <v>#N/A</v>
      </c>
      <c r="R318" s="153" t="e">
        <f t="shared" ca="1" si="876"/>
        <v>#VALUE!</v>
      </c>
      <c r="S318" s="119">
        <f t="shared" ref="S318:S323" si="1191">(1-$S$6)*J318</f>
        <v>1.5399999999999996</v>
      </c>
      <c r="T318" s="115" t="e">
        <f>VLOOKUP(TRIM($F318),Reference!B:C,2,0)</f>
        <v>#VALUE!</v>
      </c>
      <c r="U318" s="170">
        <f t="shared" ref="U318:U323" ca="1" si="1192">AC318</f>
        <v>0</v>
      </c>
      <c r="V318" s="120" t="str">
        <f t="shared" si="865"/>
        <v>TATAMOTORS22JUL400PE</v>
      </c>
      <c r="W318" s="158" t="e">
        <f>VLOOKUP($V318,Reference!BA:BD,4,0)</f>
        <v>#N/A</v>
      </c>
      <c r="X318" s="160">
        <f t="shared" ca="1" si="866"/>
        <v>0</v>
      </c>
      <c r="Y318" s="160">
        <f t="shared" ca="1" si="867"/>
        <v>0</v>
      </c>
      <c r="Z318" s="160">
        <f t="shared" ca="1" si="879"/>
        <v>0</v>
      </c>
      <c r="AA318" s="160">
        <f t="shared" ca="1" si="868"/>
        <v>0</v>
      </c>
      <c r="AB318" s="160">
        <f t="shared" ca="1" si="869"/>
        <v>0</v>
      </c>
      <c r="AC318" s="119">
        <f t="shared" ca="1" si="870"/>
        <v>0</v>
      </c>
      <c r="AD318" s="115">
        <f t="shared" ref="AD318:AD323" ca="1" si="1193">(H318-TODAY())/365</f>
        <v>-1.1342465753424658</v>
      </c>
      <c r="AE318" s="115">
        <f t="shared" ref="AE318:AE323" si="1194">IF(I318&lt;&gt;0,20,0)</f>
        <v>20</v>
      </c>
      <c r="AF318" s="115"/>
      <c r="AG318" s="115"/>
      <c r="AH318" s="115">
        <f t="shared" si="755"/>
        <v>0</v>
      </c>
      <c r="AI318" s="115"/>
      <c r="AJ318" s="115">
        <f t="shared" si="756"/>
        <v>0.65834999999999999</v>
      </c>
      <c r="AK318" s="115"/>
      <c r="AL318" s="142"/>
      <c r="AM318" s="153"/>
      <c r="AN318" s="153"/>
      <c r="AO318" s="153"/>
      <c r="AP318" s="153"/>
      <c r="AQ318" s="153"/>
      <c r="AR318" s="153"/>
      <c r="AS318" s="153"/>
      <c r="AT318" s="153"/>
      <c r="AU318" s="153"/>
      <c r="AV318" s="153"/>
      <c r="AW318" s="153"/>
      <c r="AX318" s="153"/>
      <c r="AY318" s="153"/>
      <c r="AZ318" s="153"/>
      <c r="BA318" s="153"/>
      <c r="BB318" s="153"/>
      <c r="BC318" s="153"/>
      <c r="BD318" s="153"/>
      <c r="BE318" s="153"/>
      <c r="BF318" s="153"/>
      <c r="BG318" s="153"/>
      <c r="BS318" s="13">
        <v>2</v>
      </c>
      <c r="BT318" s="123">
        <v>44491</v>
      </c>
      <c r="BU318" s="116" t="s">
        <v>8</v>
      </c>
      <c r="BV318" s="115" t="s">
        <v>482</v>
      </c>
      <c r="BW318" s="116" t="s">
        <v>502</v>
      </c>
      <c r="BX318" s="115">
        <v>18400</v>
      </c>
      <c r="BY318" s="115">
        <v>41.7</v>
      </c>
      <c r="BZ318" s="115">
        <v>47.945</v>
      </c>
      <c r="CA318" s="119">
        <v>-3216.6708800000001</v>
      </c>
      <c r="CB318" s="115">
        <v>1.1497601918465228</v>
      </c>
      <c r="CC318" s="115">
        <v>500</v>
      </c>
      <c r="CD318" s="115">
        <v>50</v>
      </c>
      <c r="CE318" s="119">
        <v>20850</v>
      </c>
    </row>
    <row r="319" spans="1:83" hidden="1">
      <c r="A319" s="13">
        <f t="shared" si="753"/>
        <v>312</v>
      </c>
      <c r="B319" s="123">
        <v>44708</v>
      </c>
      <c r="C319" s="116" t="s">
        <v>8</v>
      </c>
      <c r="D319" s="116">
        <v>1</v>
      </c>
      <c r="E319" s="115" t="s">
        <v>481</v>
      </c>
      <c r="F319" s="116" t="s">
        <v>381</v>
      </c>
      <c r="G319" s="115">
        <v>3200</v>
      </c>
      <c r="H319" s="117">
        <v>44742</v>
      </c>
      <c r="I319" s="115">
        <v>200</v>
      </c>
      <c r="J319" s="115">
        <v>37.35</v>
      </c>
      <c r="K319" s="115">
        <v>0</v>
      </c>
      <c r="L319" s="119">
        <f t="shared" ca="1" si="1186"/>
        <v>0</v>
      </c>
      <c r="M319" s="119">
        <f t="shared" si="1187"/>
        <v>0</v>
      </c>
      <c r="N319" s="115">
        <f t="shared" si="1188"/>
        <v>0</v>
      </c>
      <c r="O319" s="156">
        <f t="shared" si="1189"/>
        <v>46.6875</v>
      </c>
      <c r="P319" s="160">
        <f t="shared" si="754"/>
        <v>7470</v>
      </c>
      <c r="Q319" s="160" t="e">
        <f t="shared" si="1190"/>
        <v>#N/A</v>
      </c>
      <c r="R319" s="153" t="e">
        <f t="shared" ca="1" si="876"/>
        <v>#VALUE!</v>
      </c>
      <c r="S319" s="119">
        <f t="shared" si="1191"/>
        <v>3.7349999999999994</v>
      </c>
      <c r="T319" s="115" t="e">
        <f>VLOOKUP(TRIM($F319),Reference!B:C,2,0)</f>
        <v>#VALUE!</v>
      </c>
      <c r="U319" s="170">
        <f t="shared" ca="1" si="1192"/>
        <v>0</v>
      </c>
      <c r="V319" s="120" t="str">
        <f t="shared" si="865"/>
        <v>MINDTREE22JUN3200CE</v>
      </c>
      <c r="W319" s="158" t="e">
        <f>VLOOKUP($V319,Reference!BA:BD,4,0)</f>
        <v>#N/A</v>
      </c>
      <c r="X319" s="160">
        <f t="shared" ca="1" si="866"/>
        <v>0</v>
      </c>
      <c r="Y319" s="160">
        <f t="shared" ca="1" si="867"/>
        <v>0</v>
      </c>
      <c r="Z319" s="160">
        <f t="shared" ca="1" si="879"/>
        <v>0</v>
      </c>
      <c r="AA319" s="160">
        <f t="shared" ca="1" si="868"/>
        <v>0</v>
      </c>
      <c r="AB319" s="160">
        <f t="shared" ca="1" si="869"/>
        <v>0</v>
      </c>
      <c r="AC319" s="119">
        <f t="shared" ca="1" si="870"/>
        <v>0</v>
      </c>
      <c r="AD319" s="115">
        <f t="shared" ca="1" si="1193"/>
        <v>-1.210958904109589</v>
      </c>
      <c r="AE319" s="115">
        <f t="shared" si="1194"/>
        <v>20</v>
      </c>
      <c r="AF319" s="115"/>
      <c r="AG319" s="115"/>
      <c r="AH319" s="115">
        <f t="shared" si="755"/>
        <v>3.7349999999999999</v>
      </c>
      <c r="AI319" s="115"/>
      <c r="AJ319" s="115">
        <f t="shared" si="756"/>
        <v>0</v>
      </c>
      <c r="AK319" s="115"/>
      <c r="AL319" s="142"/>
      <c r="AM319" s="153"/>
      <c r="AN319" s="153"/>
      <c r="AO319" s="153"/>
      <c r="AP319" s="153"/>
      <c r="AQ319" s="153"/>
      <c r="AR319" s="153"/>
      <c r="AS319" s="153"/>
      <c r="AT319" s="153"/>
      <c r="AU319" s="153"/>
      <c r="AV319" s="153"/>
      <c r="AW319" s="153"/>
      <c r="AX319" s="153"/>
      <c r="AY319" s="153"/>
      <c r="AZ319" s="153"/>
      <c r="BA319" s="153"/>
      <c r="BB319" s="153"/>
      <c r="BC319" s="153"/>
      <c r="BD319" s="153"/>
      <c r="BE319" s="153"/>
      <c r="BF319" s="153"/>
      <c r="BG319" s="153"/>
      <c r="BS319" s="13">
        <v>2</v>
      </c>
      <c r="BT319" s="123">
        <v>44491</v>
      </c>
      <c r="BU319" s="116" t="s">
        <v>8</v>
      </c>
      <c r="BV319" s="115" t="s">
        <v>482</v>
      </c>
      <c r="BW319" s="116" t="s">
        <v>502</v>
      </c>
      <c r="BX319" s="115">
        <v>18400</v>
      </c>
      <c r="BY319" s="115">
        <v>41.7</v>
      </c>
      <c r="BZ319" s="115">
        <v>47.945</v>
      </c>
      <c r="CA319" s="119">
        <v>-3216.6708800000001</v>
      </c>
      <c r="CB319" s="115">
        <v>1.1497601918465228</v>
      </c>
      <c r="CC319" s="115">
        <v>500</v>
      </c>
      <c r="CD319" s="115">
        <v>50</v>
      </c>
      <c r="CE319" s="119">
        <v>20850</v>
      </c>
    </row>
    <row r="320" spans="1:83" hidden="1">
      <c r="A320" s="13">
        <f t="shared" si="753"/>
        <v>313</v>
      </c>
      <c r="B320" s="123">
        <v>44711</v>
      </c>
      <c r="C320" s="116" t="s">
        <v>6</v>
      </c>
      <c r="D320" s="116">
        <v>1</v>
      </c>
      <c r="E320" s="115" t="s">
        <v>632</v>
      </c>
      <c r="F320" s="116" t="s">
        <v>90</v>
      </c>
      <c r="G320" s="115" t="s">
        <v>568</v>
      </c>
      <c r="H320" s="117">
        <v>44770</v>
      </c>
      <c r="I320" s="115">
        <v>300</v>
      </c>
      <c r="J320" s="115">
        <v>3338.63</v>
      </c>
      <c r="K320" s="115">
        <v>0</v>
      </c>
      <c r="L320" s="119">
        <f t="shared" ca="1" si="1186"/>
        <v>0</v>
      </c>
      <c r="M320" s="119">
        <f t="shared" si="1187"/>
        <v>0</v>
      </c>
      <c r="N320" s="115">
        <f t="shared" si="1188"/>
        <v>0</v>
      </c>
      <c r="O320" s="156">
        <f t="shared" si="1189"/>
        <v>2503.9724999999999</v>
      </c>
      <c r="P320" s="160">
        <f t="shared" si="754"/>
        <v>1001589</v>
      </c>
      <c r="Q320" s="160">
        <f t="shared" si="1190"/>
        <v>-98423.999999999971</v>
      </c>
      <c r="R320" s="153" t="e">
        <f t="shared" ca="1" si="876"/>
        <v>#VALUE!</v>
      </c>
      <c r="S320" s="119">
        <f t="shared" si="1191"/>
        <v>333.86299999999994</v>
      </c>
      <c r="T320" s="115" t="e">
        <f>VLOOKUP(TRIM($F320),Reference!B:C,2,0)</f>
        <v>#VALUE!</v>
      </c>
      <c r="U320" s="170">
        <f t="shared" ca="1" si="1192"/>
        <v>0</v>
      </c>
      <c r="V320" s="120" t="str">
        <f t="shared" si="865"/>
        <v>TCS22JULFUT</v>
      </c>
      <c r="W320" s="158">
        <f>VLOOKUP($V320,Reference!BA:BD,4,0)</f>
        <v>3010.55</v>
      </c>
      <c r="X320" s="160">
        <f t="shared" ca="1" si="866"/>
        <v>0</v>
      </c>
      <c r="Y320" s="160">
        <f t="shared" ca="1" si="867"/>
        <v>0</v>
      </c>
      <c r="Z320" s="160">
        <f t="shared" ca="1" si="879"/>
        <v>0</v>
      </c>
      <c r="AA320" s="160">
        <f t="shared" ca="1" si="868"/>
        <v>0</v>
      </c>
      <c r="AB320" s="160">
        <f t="shared" ca="1" si="869"/>
        <v>0</v>
      </c>
      <c r="AC320" s="119">
        <f t="shared" ca="1" si="870"/>
        <v>0</v>
      </c>
      <c r="AD320" s="115">
        <f t="shared" ca="1" si="1193"/>
        <v>-1.1342465753424658</v>
      </c>
      <c r="AE320" s="115">
        <f t="shared" si="1194"/>
        <v>20</v>
      </c>
      <c r="AF320" s="115"/>
      <c r="AG320" s="115"/>
      <c r="AH320" s="115">
        <f t="shared" si="755"/>
        <v>0</v>
      </c>
      <c r="AI320" s="115"/>
      <c r="AJ320" s="115">
        <f t="shared" si="756"/>
        <v>30.04767</v>
      </c>
      <c r="AK320" s="115"/>
      <c r="AL320" s="142"/>
      <c r="AM320" s="153"/>
      <c r="AN320" s="153"/>
      <c r="AO320" s="153"/>
      <c r="AP320" s="153"/>
      <c r="AQ320" s="153"/>
      <c r="AR320" s="153"/>
      <c r="AS320" s="153"/>
      <c r="AT320" s="153"/>
      <c r="AU320" s="153"/>
      <c r="AV320" s="153"/>
      <c r="AW320" s="153"/>
      <c r="AX320" s="153"/>
      <c r="AY320" s="153"/>
      <c r="AZ320" s="153"/>
      <c r="BA320" s="153"/>
      <c r="BB320" s="153"/>
      <c r="BC320" s="153"/>
      <c r="BD320" s="153"/>
      <c r="BE320" s="153"/>
      <c r="BF320" s="153"/>
      <c r="BG320" s="153"/>
      <c r="BS320" s="13">
        <v>2</v>
      </c>
      <c r="BT320" s="123">
        <v>44491</v>
      </c>
      <c r="BU320" s="116" t="s">
        <v>8</v>
      </c>
      <c r="BV320" s="115" t="s">
        <v>482</v>
      </c>
      <c r="BW320" s="116" t="s">
        <v>502</v>
      </c>
      <c r="BX320" s="115">
        <v>18400</v>
      </c>
      <c r="BY320" s="115">
        <v>41.7</v>
      </c>
      <c r="BZ320" s="115">
        <v>47.945</v>
      </c>
      <c r="CA320" s="119">
        <v>-3216.6708800000001</v>
      </c>
      <c r="CB320" s="115">
        <v>1.1497601918465228</v>
      </c>
      <c r="CC320" s="115">
        <v>500</v>
      </c>
      <c r="CD320" s="115">
        <v>50</v>
      </c>
      <c r="CE320" s="119">
        <v>20850</v>
      </c>
    </row>
    <row r="321" spans="1:83" hidden="1">
      <c r="A321" s="13">
        <f t="shared" si="753"/>
        <v>314</v>
      </c>
      <c r="B321" s="123">
        <v>44711</v>
      </c>
      <c r="C321" s="116" t="s">
        <v>6</v>
      </c>
      <c r="D321" s="116">
        <v>1</v>
      </c>
      <c r="E321" s="115" t="s">
        <v>632</v>
      </c>
      <c r="F321" s="116" t="s">
        <v>506</v>
      </c>
      <c r="G321" s="115"/>
      <c r="H321" s="117">
        <v>44770</v>
      </c>
      <c r="I321" s="115">
        <v>25</v>
      </c>
      <c r="J321" s="115">
        <v>36161.449999999997</v>
      </c>
      <c r="K321" s="115">
        <v>35179.550000000003</v>
      </c>
      <c r="L321" s="119">
        <f t="shared" ca="1" si="1186"/>
        <v>0</v>
      </c>
      <c r="M321" s="119">
        <f t="shared" si="1187"/>
        <v>-24547.499999999854</v>
      </c>
      <c r="N321" s="115">
        <f t="shared" si="1188"/>
        <v>0.97284677467302905</v>
      </c>
      <c r="O321" s="156">
        <f t="shared" si="1189"/>
        <v>27121.087499999998</v>
      </c>
      <c r="P321" s="160">
        <f t="shared" si="754"/>
        <v>904036.24999999988</v>
      </c>
      <c r="Q321" s="160" t="e">
        <f t="shared" si="1190"/>
        <v>#N/A</v>
      </c>
      <c r="R321" s="153" t="e">
        <f t="shared" ca="1" si="876"/>
        <v>#VALUE!</v>
      </c>
      <c r="S321" s="119">
        <f t="shared" si="1191"/>
        <v>3616.1449999999991</v>
      </c>
      <c r="T321" s="115" t="str">
        <f>VLOOKUP(TRIM($F321),Reference!B:C,2,0)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21" s="170">
        <f t="shared" ca="1" si="1192"/>
        <v>0</v>
      </c>
      <c r="V321" s="120" t="str">
        <f t="shared" si="865"/>
        <v>BANKNIFTY22JULFUT</v>
      </c>
      <c r="W321" s="158" t="e">
        <f>VLOOKUP($V321,Reference!BA:BD,4,0)</f>
        <v>#N/A</v>
      </c>
      <c r="X321" s="160">
        <f t="shared" ca="1" si="866"/>
        <v>0</v>
      </c>
      <c r="Y321" s="160">
        <f t="shared" ca="1" si="867"/>
        <v>0</v>
      </c>
      <c r="Z321" s="160">
        <f t="shared" ca="1" si="879"/>
        <v>0</v>
      </c>
      <c r="AA321" s="160">
        <f t="shared" ca="1" si="868"/>
        <v>0</v>
      </c>
      <c r="AB321" s="160">
        <f t="shared" ca="1" si="869"/>
        <v>0</v>
      </c>
      <c r="AC321" s="119">
        <f t="shared" ca="1" si="870"/>
        <v>0</v>
      </c>
      <c r="AD321" s="115">
        <f t="shared" ca="1" si="1193"/>
        <v>-1.1342465753424658</v>
      </c>
      <c r="AE321" s="115">
        <f t="shared" si="1194"/>
        <v>20</v>
      </c>
      <c r="AF321" s="115"/>
      <c r="AG321" s="115"/>
      <c r="AH321" s="115">
        <f t="shared" si="755"/>
        <v>0</v>
      </c>
      <c r="AI321" s="115"/>
      <c r="AJ321" s="115">
        <f t="shared" si="756"/>
        <v>27.121087499999998</v>
      </c>
      <c r="AK321" s="115"/>
      <c r="AL321" s="142"/>
      <c r="AM321" s="153"/>
      <c r="AN321" s="153"/>
      <c r="AO321" s="153"/>
      <c r="AP321" s="153"/>
      <c r="AQ321" s="153"/>
      <c r="AR321" s="153"/>
      <c r="AS321" s="153"/>
      <c r="AT321" s="153"/>
      <c r="AU321" s="153"/>
      <c r="AV321" s="153"/>
      <c r="AW321" s="153"/>
      <c r="AX321" s="153"/>
      <c r="AY321" s="153"/>
      <c r="AZ321" s="153"/>
      <c r="BA321" s="153"/>
      <c r="BB321" s="153"/>
      <c r="BC321" s="153"/>
      <c r="BD321" s="153"/>
      <c r="BE321" s="153"/>
      <c r="BF321" s="153"/>
      <c r="BG321" s="153"/>
      <c r="BS321" s="13">
        <v>2</v>
      </c>
      <c r="BT321" s="123">
        <v>44491</v>
      </c>
      <c r="BU321" s="116" t="s">
        <v>8</v>
      </c>
      <c r="BV321" s="115" t="s">
        <v>482</v>
      </c>
      <c r="BW321" s="116" t="s">
        <v>502</v>
      </c>
      <c r="BX321" s="115">
        <v>18400</v>
      </c>
      <c r="BY321" s="115">
        <v>41.7</v>
      </c>
      <c r="BZ321" s="115">
        <v>47.945</v>
      </c>
      <c r="CA321" s="119">
        <v>-3216.6708800000001</v>
      </c>
      <c r="CB321" s="115">
        <v>1.1497601918465228</v>
      </c>
      <c r="CC321" s="115">
        <v>500</v>
      </c>
      <c r="CD321" s="115">
        <v>50</v>
      </c>
      <c r="CE321" s="119">
        <v>20850</v>
      </c>
    </row>
    <row r="322" spans="1:83" hidden="1">
      <c r="A322" s="13">
        <f t="shared" si="753"/>
        <v>315</v>
      </c>
      <c r="B322" s="123">
        <v>44711</v>
      </c>
      <c r="C322" s="116" t="s">
        <v>6</v>
      </c>
      <c r="D322" s="116">
        <v>1</v>
      </c>
      <c r="E322" s="115" t="s">
        <v>632</v>
      </c>
      <c r="F322" s="116" t="s">
        <v>502</v>
      </c>
      <c r="G322" s="115" t="s">
        <v>568</v>
      </c>
      <c r="H322" s="117">
        <v>44770</v>
      </c>
      <c r="I322" s="115">
        <v>100</v>
      </c>
      <c r="J322" s="115">
        <v>16585.45</v>
      </c>
      <c r="K322" s="115">
        <v>0</v>
      </c>
      <c r="L322" s="119">
        <f ca="1">IF(AND(K322&lt;&gt;0,I322&lt;&gt;0),(IF(C322="B",1,-1))*(K322-J322)*I322-AK322*2,0)*$D322*IF(MONTH($B$2)=MONTH($H322),1,0)</f>
        <v>0</v>
      </c>
      <c r="M322" s="119">
        <f t="shared" si="1187"/>
        <v>0</v>
      </c>
      <c r="N322" s="115">
        <f t="shared" si="1188"/>
        <v>0</v>
      </c>
      <c r="O322" s="156">
        <f t="shared" si="1189"/>
        <v>12439.087500000001</v>
      </c>
      <c r="P322" s="160">
        <f t="shared" si="754"/>
        <v>1658545</v>
      </c>
      <c r="Q322" s="160">
        <f t="shared" si="1190"/>
        <v>-64445.000000000073</v>
      </c>
      <c r="R322" s="153" t="e">
        <f t="shared" ca="1" si="876"/>
        <v>#VALUE!</v>
      </c>
      <c r="S322" s="119">
        <f t="shared" si="1191"/>
        <v>1658.5449999999996</v>
      </c>
      <c r="T322" s="115" t="str">
        <f>VLOOKUP(TRIM($F322),Reference!B:C,2,0)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22" s="170">
        <f t="shared" ca="1" si="1192"/>
        <v>0</v>
      </c>
      <c r="V322" s="120" t="str">
        <f t="shared" si="865"/>
        <v>NIFTY22JULFUT</v>
      </c>
      <c r="W322" s="158">
        <f>VLOOKUP($V322,Reference!BA:BD,4,0)</f>
        <v>15941</v>
      </c>
      <c r="X322" s="160">
        <f t="shared" ca="1" si="866"/>
        <v>0</v>
      </c>
      <c r="Y322" s="160">
        <f t="shared" ca="1" si="867"/>
        <v>0</v>
      </c>
      <c r="Z322" s="160">
        <f t="shared" ca="1" si="879"/>
        <v>0</v>
      </c>
      <c r="AA322" s="160">
        <f t="shared" ca="1" si="868"/>
        <v>0</v>
      </c>
      <c r="AB322" s="160">
        <f t="shared" ca="1" si="869"/>
        <v>0</v>
      </c>
      <c r="AC322" s="119">
        <f t="shared" ca="1" si="870"/>
        <v>0</v>
      </c>
      <c r="AD322" s="115">
        <f t="shared" ca="1" si="1193"/>
        <v>-1.1342465753424658</v>
      </c>
      <c r="AE322" s="115">
        <f t="shared" si="1194"/>
        <v>20</v>
      </c>
      <c r="AF322" s="115"/>
      <c r="AG322" s="115"/>
      <c r="AH322" s="115">
        <f t="shared" si="755"/>
        <v>0</v>
      </c>
      <c r="AI322" s="115"/>
      <c r="AJ322" s="115">
        <f t="shared" si="756"/>
        <v>49.756350000000005</v>
      </c>
      <c r="AK322" s="115"/>
      <c r="AL322" s="142"/>
      <c r="AM322" s="153"/>
      <c r="AN322" s="153"/>
      <c r="AO322" s="153"/>
      <c r="AP322" s="153"/>
      <c r="AQ322" s="153"/>
      <c r="AR322" s="153"/>
      <c r="AS322" s="153"/>
      <c r="AT322" s="153"/>
      <c r="AU322" s="153"/>
      <c r="AV322" s="153"/>
      <c r="AW322" s="153"/>
      <c r="AX322" s="153"/>
      <c r="AY322" s="153"/>
      <c r="AZ322" s="153"/>
      <c r="BA322" s="153"/>
      <c r="BB322" s="153"/>
      <c r="BC322" s="153"/>
      <c r="BD322" s="153"/>
      <c r="BE322" s="153"/>
      <c r="BF322" s="153"/>
      <c r="BG322" s="153"/>
      <c r="BS322" s="13">
        <v>2</v>
      </c>
      <c r="BT322" s="123">
        <v>44491</v>
      </c>
      <c r="BU322" s="116" t="s">
        <v>8</v>
      </c>
      <c r="BV322" s="115" t="s">
        <v>482</v>
      </c>
      <c r="BW322" s="116" t="s">
        <v>502</v>
      </c>
      <c r="BX322" s="115">
        <v>18400</v>
      </c>
      <c r="BY322" s="115">
        <v>41.7</v>
      </c>
      <c r="BZ322" s="115">
        <v>47.945</v>
      </c>
      <c r="CA322" s="119">
        <v>-3216.6708800000001</v>
      </c>
      <c r="CB322" s="115">
        <v>1.1497601918465228</v>
      </c>
      <c r="CC322" s="115">
        <v>500</v>
      </c>
      <c r="CD322" s="115">
        <v>50</v>
      </c>
      <c r="CE322" s="119">
        <v>20850</v>
      </c>
    </row>
    <row r="323" spans="1:83" hidden="1">
      <c r="A323" s="13">
        <f t="shared" si="753"/>
        <v>316</v>
      </c>
      <c r="B323" s="123">
        <v>44711</v>
      </c>
      <c r="C323" s="116" t="s">
        <v>6</v>
      </c>
      <c r="D323" s="116">
        <v>1</v>
      </c>
      <c r="E323" s="115" t="s">
        <v>482</v>
      </c>
      <c r="F323" s="116" t="s">
        <v>390</v>
      </c>
      <c r="G323" s="115">
        <v>2300</v>
      </c>
      <c r="H323" s="117">
        <v>44742</v>
      </c>
      <c r="I323" s="115">
        <v>375</v>
      </c>
      <c r="J323" s="115">
        <v>50</v>
      </c>
      <c r="K323" s="115">
        <v>31</v>
      </c>
      <c r="L323" s="119">
        <f t="shared" ca="1" si="1186"/>
        <v>0</v>
      </c>
      <c r="M323" s="119">
        <f t="shared" si="1187"/>
        <v>-7125</v>
      </c>
      <c r="N323" s="115">
        <f t="shared" si="1188"/>
        <v>0.62</v>
      </c>
      <c r="O323" s="156">
        <f t="shared" si="1189"/>
        <v>37.5</v>
      </c>
      <c r="P323" s="160">
        <f t="shared" si="754"/>
        <v>18750</v>
      </c>
      <c r="Q323" s="160" t="e">
        <f t="shared" si="1190"/>
        <v>#N/A</v>
      </c>
      <c r="R323" s="153" t="e">
        <f t="shared" ca="1" si="876"/>
        <v>#VALUE!</v>
      </c>
      <c r="S323" s="119">
        <f t="shared" si="1191"/>
        <v>4.9999999999999991</v>
      </c>
      <c r="T323" s="115" t="e">
        <f>VLOOKUP(TRIM($F323),Reference!B:C,2,0)</f>
        <v>#VALUE!</v>
      </c>
      <c r="U323" s="170">
        <f t="shared" ca="1" si="1192"/>
        <v>0</v>
      </c>
      <c r="V323" s="120" t="str">
        <f t="shared" si="865"/>
        <v>SRF22JUN2300PE</v>
      </c>
      <c r="W323" s="158" t="e">
        <f>VLOOKUP($V323,Reference!BA:BD,4,0)</f>
        <v>#N/A</v>
      </c>
      <c r="X323" s="160">
        <f t="shared" ca="1" si="866"/>
        <v>0</v>
      </c>
      <c r="Y323" s="160">
        <f t="shared" ca="1" si="867"/>
        <v>0</v>
      </c>
      <c r="Z323" s="160">
        <f t="shared" ca="1" si="879"/>
        <v>0</v>
      </c>
      <c r="AA323" s="160">
        <f t="shared" ca="1" si="868"/>
        <v>0</v>
      </c>
      <c r="AB323" s="160">
        <f t="shared" ca="1" si="869"/>
        <v>0</v>
      </c>
      <c r="AC323" s="119">
        <f t="shared" ca="1" si="870"/>
        <v>0</v>
      </c>
      <c r="AD323" s="115">
        <f t="shared" ca="1" si="1193"/>
        <v>-1.210958904109589</v>
      </c>
      <c r="AE323" s="115">
        <f t="shared" si="1194"/>
        <v>20</v>
      </c>
      <c r="AF323" s="115"/>
      <c r="AG323" s="115"/>
      <c r="AH323" s="115">
        <f t="shared" si="755"/>
        <v>0</v>
      </c>
      <c r="AI323" s="115"/>
      <c r="AJ323" s="115">
        <f t="shared" si="756"/>
        <v>0.5625</v>
      </c>
      <c r="AK323" s="115"/>
      <c r="AL323" s="142"/>
      <c r="AM323" s="153"/>
      <c r="AN323" s="153"/>
      <c r="AO323" s="153"/>
      <c r="AP323" s="153"/>
      <c r="AQ323" s="153"/>
      <c r="AR323" s="153"/>
      <c r="AS323" s="153"/>
      <c r="AT323" s="153"/>
      <c r="AU323" s="153"/>
      <c r="AV323" s="153"/>
      <c r="AW323" s="153"/>
      <c r="AX323" s="153"/>
      <c r="AY323" s="153"/>
      <c r="AZ323" s="153"/>
      <c r="BA323" s="153"/>
      <c r="BB323" s="153"/>
      <c r="BC323" s="153"/>
      <c r="BD323" s="153"/>
      <c r="BE323" s="153"/>
      <c r="BF323" s="153"/>
      <c r="BG323" s="153"/>
      <c r="BS323" s="13">
        <v>2</v>
      </c>
      <c r="BT323" s="123">
        <v>44491</v>
      </c>
      <c r="BU323" s="116" t="s">
        <v>8</v>
      </c>
      <c r="BV323" s="115" t="s">
        <v>482</v>
      </c>
      <c r="BW323" s="116" t="s">
        <v>502</v>
      </c>
      <c r="BX323" s="115">
        <v>18400</v>
      </c>
      <c r="BY323" s="115">
        <v>41.7</v>
      </c>
      <c r="BZ323" s="115">
        <v>47.945</v>
      </c>
      <c r="CA323" s="119">
        <v>-3216.6708800000001</v>
      </c>
      <c r="CB323" s="115">
        <v>1.1497601918465228</v>
      </c>
      <c r="CC323" s="115">
        <v>500</v>
      </c>
      <c r="CD323" s="115">
        <v>50</v>
      </c>
      <c r="CE323" s="119">
        <v>20850</v>
      </c>
    </row>
    <row r="324" spans="1:83" hidden="1">
      <c r="A324" s="13">
        <f t="shared" si="753"/>
        <v>317</v>
      </c>
      <c r="B324" s="123">
        <v>44711</v>
      </c>
      <c r="C324" s="116" t="s">
        <v>6</v>
      </c>
      <c r="D324" s="116">
        <v>1</v>
      </c>
      <c r="E324" s="115" t="s">
        <v>482</v>
      </c>
      <c r="F324" s="116" t="s">
        <v>399</v>
      </c>
      <c r="G324" s="115">
        <v>1600</v>
      </c>
      <c r="H324" s="117">
        <v>44770</v>
      </c>
      <c r="I324" s="115">
        <v>300</v>
      </c>
      <c r="J324" s="115">
        <v>56.5</v>
      </c>
      <c r="K324" s="115">
        <v>15.4</v>
      </c>
      <c r="L324" s="119">
        <f t="shared" ref="L324" ca="1" si="1195">IF(AND(K324&lt;&gt;0,I324&lt;&gt;0),(IF(C324="B",1,-1))*(K324-J324)*I324-AK324*2,0)*$D324*IF(MONTH($B$2)=MONTH($H324),1,0)</f>
        <v>0</v>
      </c>
      <c r="M324" s="119">
        <f t="shared" ref="M324" si="1196">IF(AND(K324&lt;&gt;0,I324&lt;&gt;0),(IF(C324="B",1,-1))*(K324-J324)*I324-AK324*2,0)*$D324</f>
        <v>-12330</v>
      </c>
      <c r="N324" s="115">
        <f t="shared" ref="N324" si="1197">K324/$J324</f>
        <v>0.27256637168141595</v>
      </c>
      <c r="O324" s="156">
        <f t="shared" ref="O324" si="1198">J324*(1+$O$6*IF(C324="B",-1,1))</f>
        <v>42.375</v>
      </c>
      <c r="P324" s="160">
        <f t="shared" si="754"/>
        <v>16950</v>
      </c>
      <c r="Q324" s="160" t="e">
        <f t="shared" ref="Q324" si="1199">(W324-J324)*I324*IF(C324="B",1,-1)*IF(K324=0,1,0)</f>
        <v>#N/A</v>
      </c>
      <c r="R324" s="153" t="e">
        <f t="shared" ca="1" si="876"/>
        <v>#VALUE!</v>
      </c>
      <c r="S324" s="119">
        <f t="shared" ref="S324" si="1200">(1-$S$6)*J324</f>
        <v>5.6499999999999986</v>
      </c>
      <c r="T324" s="115" t="e">
        <f>VLOOKUP(TRIM($F324),Reference!B:C,2,0)</f>
        <v>#VALUE!</v>
      </c>
      <c r="U324" s="170">
        <f t="shared" ref="U324" ca="1" si="1201">AC324</f>
        <v>0</v>
      </c>
      <c r="V324" s="120" t="str">
        <f t="shared" si="865"/>
        <v>LT22JUL1600PE</v>
      </c>
      <c r="W324" s="158" t="e">
        <f>VLOOKUP($V324,Reference!BA:BD,4,0)</f>
        <v>#N/A</v>
      </c>
      <c r="X324" s="160">
        <f t="shared" ca="1" si="866"/>
        <v>0</v>
      </c>
      <c r="Y324" s="160">
        <f t="shared" ca="1" si="867"/>
        <v>0</v>
      </c>
      <c r="Z324" s="160">
        <f t="shared" ca="1" si="879"/>
        <v>0</v>
      </c>
      <c r="AA324" s="160">
        <f t="shared" ca="1" si="868"/>
        <v>0</v>
      </c>
      <c r="AB324" s="160">
        <f t="shared" ca="1" si="869"/>
        <v>0</v>
      </c>
      <c r="AC324" s="119">
        <f t="shared" ca="1" si="870"/>
        <v>0</v>
      </c>
      <c r="AD324" s="115">
        <f t="shared" ref="AD324" ca="1" si="1202">(H324-TODAY())/365</f>
        <v>-1.1342465753424658</v>
      </c>
      <c r="AE324" s="115">
        <f t="shared" ref="AE324" si="1203">IF(I324&lt;&gt;0,20,0)</f>
        <v>20</v>
      </c>
      <c r="AF324" s="115"/>
      <c r="AG324" s="115"/>
      <c r="AH324" s="115">
        <f t="shared" si="755"/>
        <v>0</v>
      </c>
      <c r="AI324" s="115"/>
      <c r="AJ324" s="115">
        <f t="shared" si="756"/>
        <v>0.50850000000000006</v>
      </c>
      <c r="AK324" s="115"/>
      <c r="AL324" s="142"/>
      <c r="AM324" s="153"/>
      <c r="AN324" s="153"/>
      <c r="AO324" s="153"/>
      <c r="AP324" s="153"/>
      <c r="AQ324" s="153"/>
      <c r="AR324" s="153"/>
      <c r="AS324" s="153"/>
      <c r="AT324" s="153"/>
      <c r="AU324" s="153"/>
      <c r="AV324" s="153"/>
      <c r="AW324" s="153"/>
      <c r="AX324" s="153"/>
      <c r="AY324" s="153"/>
      <c r="AZ324" s="153"/>
      <c r="BA324" s="153"/>
      <c r="BB324" s="153"/>
      <c r="BC324" s="153"/>
      <c r="BD324" s="153"/>
      <c r="BE324" s="153"/>
      <c r="BF324" s="153"/>
      <c r="BG324" s="153"/>
      <c r="BS324" s="13">
        <v>2</v>
      </c>
      <c r="BT324" s="123">
        <v>44491</v>
      </c>
      <c r="BU324" s="116" t="s">
        <v>8</v>
      </c>
      <c r="BV324" s="115" t="s">
        <v>482</v>
      </c>
      <c r="BW324" s="116" t="s">
        <v>502</v>
      </c>
      <c r="BX324" s="115">
        <v>18400</v>
      </c>
      <c r="BY324" s="115">
        <v>41.7</v>
      </c>
      <c r="BZ324" s="115">
        <v>47.945</v>
      </c>
      <c r="CA324" s="119">
        <v>-3216.6708800000001</v>
      </c>
      <c r="CB324" s="115">
        <v>1.1497601918465228</v>
      </c>
      <c r="CC324" s="115">
        <v>500</v>
      </c>
      <c r="CD324" s="115">
        <v>50</v>
      </c>
      <c r="CE324" s="119">
        <v>20850</v>
      </c>
    </row>
    <row r="325" spans="1:83" hidden="1">
      <c r="A325" s="13">
        <f t="shared" si="753"/>
        <v>318</v>
      </c>
      <c r="B325" s="123">
        <v>44711</v>
      </c>
      <c r="C325" s="116" t="s">
        <v>6</v>
      </c>
      <c r="D325" s="116">
        <v>1</v>
      </c>
      <c r="E325" s="115" t="s">
        <v>482</v>
      </c>
      <c r="F325" s="116" t="s">
        <v>90</v>
      </c>
      <c r="G325" s="115">
        <v>3200</v>
      </c>
      <c r="H325" s="117">
        <v>44770</v>
      </c>
      <c r="I325" s="115">
        <v>150</v>
      </c>
      <c r="J325" s="115">
        <v>69.25</v>
      </c>
      <c r="K325" s="115">
        <v>0</v>
      </c>
      <c r="L325" s="119">
        <f t="shared" ref="L325:L329" ca="1" si="1204">IF(AND(K325&lt;&gt;0,I325&lt;&gt;0),(IF(C325="B",1,-1))*(K325-J325)*I325-AK325*2,0)*$D325*IF(MONTH($B$2)=MONTH($H325),1,0)</f>
        <v>0</v>
      </c>
      <c r="M325" s="119">
        <f t="shared" ref="M325:M329" si="1205">IF(AND(K325&lt;&gt;0,I325&lt;&gt;0),(IF(C325="B",1,-1))*(K325-J325)*I325-AK325*2,0)*$D325</f>
        <v>0</v>
      </c>
      <c r="N325" s="115">
        <f t="shared" ref="N325:N329" si="1206">K325/$J325</f>
        <v>0</v>
      </c>
      <c r="O325" s="156">
        <f t="shared" ref="O325:O329" si="1207">J325*(1+$O$6*IF(C325="B",-1,1))</f>
        <v>51.9375</v>
      </c>
      <c r="P325" s="160">
        <f t="shared" si="754"/>
        <v>10387.5</v>
      </c>
      <c r="Q325" s="160">
        <f t="shared" ref="Q325:Q329" si="1208">(W325-J325)*I325*IF(C325="B",1,-1)*IF(K325=0,1,0)</f>
        <v>19072.5</v>
      </c>
      <c r="R325" s="153" t="e">
        <f t="shared" ca="1" si="876"/>
        <v>#VALUE!</v>
      </c>
      <c r="S325" s="119">
        <f t="shared" ref="S325:S329" si="1209">(1-$S$6)*J325</f>
        <v>6.924999999999998</v>
      </c>
      <c r="T325" s="115" t="e">
        <f>VLOOKUP(TRIM($F325),Reference!B:C,2,0)</f>
        <v>#VALUE!</v>
      </c>
      <c r="U325" s="170">
        <f t="shared" ref="U325:U329" ca="1" si="1210">AC325</f>
        <v>0</v>
      </c>
      <c r="V325" s="120" t="str">
        <f t="shared" si="865"/>
        <v>TCS22JUL3200PE</v>
      </c>
      <c r="W325" s="158">
        <f>VLOOKUP($V325,Reference!BA:BD,4,0)</f>
        <v>196.4</v>
      </c>
      <c r="X325" s="160">
        <f t="shared" ca="1" si="866"/>
        <v>0</v>
      </c>
      <c r="Y325" s="160">
        <f t="shared" ca="1" si="867"/>
        <v>0</v>
      </c>
      <c r="Z325" s="160">
        <f t="shared" ca="1" si="879"/>
        <v>0</v>
      </c>
      <c r="AA325" s="160">
        <f t="shared" ca="1" si="868"/>
        <v>0</v>
      </c>
      <c r="AB325" s="160">
        <f t="shared" ca="1" si="869"/>
        <v>0</v>
      </c>
      <c r="AC325" s="119">
        <f t="shared" ca="1" si="870"/>
        <v>0</v>
      </c>
      <c r="AD325" s="115">
        <f t="shared" ref="AD325:AD329" ca="1" si="1211">(H325-TODAY())/365</f>
        <v>-1.1342465753424658</v>
      </c>
      <c r="AE325" s="115">
        <f t="shared" ref="AE325:AE329" si="1212">IF(I325&lt;&gt;0,20,0)</f>
        <v>20</v>
      </c>
      <c r="AF325" s="115"/>
      <c r="AG325" s="115"/>
      <c r="AH325" s="115">
        <f t="shared" si="755"/>
        <v>0</v>
      </c>
      <c r="AI325" s="115"/>
      <c r="AJ325" s="115">
        <f t="shared" si="756"/>
        <v>0.31162499999999999</v>
      </c>
      <c r="AK325" s="115"/>
      <c r="AL325" s="142"/>
      <c r="AM325" s="153"/>
      <c r="AN325" s="153"/>
      <c r="AO325" s="153"/>
      <c r="AP325" s="153"/>
      <c r="AQ325" s="153"/>
      <c r="AR325" s="153"/>
      <c r="AS325" s="153"/>
      <c r="AT325" s="153"/>
      <c r="AU325" s="153"/>
      <c r="AV325" s="153"/>
      <c r="AW325" s="153"/>
      <c r="AX325" s="153"/>
      <c r="AY325" s="153"/>
      <c r="AZ325" s="153"/>
      <c r="BA325" s="153"/>
      <c r="BB325" s="153"/>
      <c r="BC325" s="153"/>
      <c r="BD325" s="153"/>
      <c r="BE325" s="153"/>
      <c r="BF325" s="153"/>
      <c r="BG325" s="153"/>
      <c r="BS325" s="13">
        <v>2</v>
      </c>
      <c r="BT325" s="123">
        <v>44491</v>
      </c>
      <c r="BU325" s="116" t="s">
        <v>8</v>
      </c>
      <c r="BV325" s="115" t="s">
        <v>482</v>
      </c>
      <c r="BW325" s="116" t="s">
        <v>502</v>
      </c>
      <c r="BX325" s="115">
        <v>18400</v>
      </c>
      <c r="BY325" s="115">
        <v>41.7</v>
      </c>
      <c r="BZ325" s="115">
        <v>47.945</v>
      </c>
      <c r="CA325" s="119">
        <v>-3216.6708800000001</v>
      </c>
      <c r="CB325" s="115">
        <v>1.1497601918465228</v>
      </c>
      <c r="CC325" s="115">
        <v>500</v>
      </c>
      <c r="CD325" s="115">
        <v>50</v>
      </c>
      <c r="CE325" s="119">
        <v>20850</v>
      </c>
    </row>
    <row r="326" spans="1:83" hidden="1">
      <c r="A326" s="13">
        <f t="shared" si="753"/>
        <v>319</v>
      </c>
      <c r="B326" s="123">
        <v>44711</v>
      </c>
      <c r="C326" s="116" t="s">
        <v>6</v>
      </c>
      <c r="D326" s="116">
        <v>1</v>
      </c>
      <c r="E326" s="115" t="s">
        <v>632</v>
      </c>
      <c r="F326" s="116" t="s">
        <v>284</v>
      </c>
      <c r="G326" s="115" t="s">
        <v>568</v>
      </c>
      <c r="H326" s="117">
        <v>44770</v>
      </c>
      <c r="I326" s="115">
        <v>2850</v>
      </c>
      <c r="J326" s="115">
        <v>442</v>
      </c>
      <c r="K326" s="115">
        <v>438</v>
      </c>
      <c r="L326" s="119">
        <f t="shared" ca="1" si="1204"/>
        <v>0</v>
      </c>
      <c r="M326" s="119">
        <f t="shared" si="1205"/>
        <v>-11400</v>
      </c>
      <c r="N326" s="115">
        <f t="shared" si="1206"/>
        <v>0.99095022624434392</v>
      </c>
      <c r="O326" s="156">
        <f t="shared" si="1207"/>
        <v>331.5</v>
      </c>
      <c r="P326" s="160">
        <f t="shared" si="754"/>
        <v>1259700</v>
      </c>
      <c r="Q326" s="160" t="e">
        <f t="shared" si="1208"/>
        <v>#N/A</v>
      </c>
      <c r="R326" s="153" t="e">
        <f t="shared" ca="1" si="876"/>
        <v>#VALUE!</v>
      </c>
      <c r="S326" s="119">
        <f t="shared" si="1209"/>
        <v>44.199999999999989</v>
      </c>
      <c r="T326" s="115" t="e">
        <f>VLOOKUP(TRIM($F326),Reference!B:C,2,0)</f>
        <v>#VALUE!</v>
      </c>
      <c r="U326" s="170">
        <f t="shared" ca="1" si="1210"/>
        <v>0</v>
      </c>
      <c r="V326" s="120" t="str">
        <f t="shared" si="865"/>
        <v>TATAMOTORS22JULFUT</v>
      </c>
      <c r="W326" s="158" t="e">
        <f>VLOOKUP($V326,Reference!BA:BD,4,0)</f>
        <v>#N/A</v>
      </c>
      <c r="X326" s="160">
        <f t="shared" ca="1" si="866"/>
        <v>0</v>
      </c>
      <c r="Y326" s="160">
        <f t="shared" ca="1" si="867"/>
        <v>0</v>
      </c>
      <c r="Z326" s="160">
        <f t="shared" ca="1" si="879"/>
        <v>0</v>
      </c>
      <c r="AA326" s="160">
        <f t="shared" ca="1" si="868"/>
        <v>0</v>
      </c>
      <c r="AB326" s="160">
        <f t="shared" ca="1" si="869"/>
        <v>0</v>
      </c>
      <c r="AC326" s="119">
        <f t="shared" ca="1" si="870"/>
        <v>0</v>
      </c>
      <c r="AD326" s="115">
        <f t="shared" ca="1" si="1211"/>
        <v>-1.1342465753424658</v>
      </c>
      <c r="AE326" s="115">
        <f t="shared" si="1212"/>
        <v>20</v>
      </c>
      <c r="AF326" s="115"/>
      <c r="AG326" s="115"/>
      <c r="AH326" s="115">
        <f t="shared" si="755"/>
        <v>0</v>
      </c>
      <c r="AI326" s="115"/>
      <c r="AJ326" s="115">
        <f t="shared" si="756"/>
        <v>37.791000000000004</v>
      </c>
      <c r="AK326" s="115"/>
      <c r="AL326" s="142"/>
      <c r="AM326" s="153"/>
      <c r="AN326" s="153"/>
      <c r="AO326" s="153"/>
      <c r="AP326" s="153"/>
      <c r="AQ326" s="153"/>
      <c r="AR326" s="153"/>
      <c r="AS326" s="153"/>
      <c r="AT326" s="153"/>
      <c r="AU326" s="153"/>
      <c r="AV326" s="153"/>
      <c r="AW326" s="153"/>
      <c r="AX326" s="153"/>
      <c r="AY326" s="153"/>
      <c r="AZ326" s="153"/>
      <c r="BA326" s="153"/>
      <c r="BB326" s="153"/>
      <c r="BC326" s="153"/>
      <c r="BD326" s="153"/>
      <c r="BE326" s="153"/>
      <c r="BF326" s="153"/>
      <c r="BG326" s="153"/>
      <c r="BS326" s="13">
        <v>2</v>
      </c>
      <c r="BT326" s="123">
        <v>44491</v>
      </c>
      <c r="BU326" s="116" t="s">
        <v>8</v>
      </c>
      <c r="BV326" s="115" t="s">
        <v>482</v>
      </c>
      <c r="BW326" s="116" t="s">
        <v>502</v>
      </c>
      <c r="BX326" s="115">
        <v>18400</v>
      </c>
      <c r="BY326" s="115">
        <v>41.7</v>
      </c>
      <c r="BZ326" s="115">
        <v>47.945</v>
      </c>
      <c r="CA326" s="119">
        <v>-3216.6708800000001</v>
      </c>
      <c r="CB326" s="115">
        <v>1.1497601918465228</v>
      </c>
      <c r="CC326" s="115">
        <v>500</v>
      </c>
      <c r="CD326" s="115">
        <v>50</v>
      </c>
      <c r="CE326" s="119">
        <v>20850</v>
      </c>
    </row>
    <row r="327" spans="1:83" hidden="1">
      <c r="A327" s="13">
        <f t="shared" si="753"/>
        <v>320</v>
      </c>
      <c r="B327" s="123">
        <v>44711</v>
      </c>
      <c r="C327" s="116" t="s">
        <v>6</v>
      </c>
      <c r="D327" s="116">
        <v>1</v>
      </c>
      <c r="E327" s="115" t="s">
        <v>482</v>
      </c>
      <c r="F327" s="116" t="s">
        <v>284</v>
      </c>
      <c r="G327" s="115">
        <v>400</v>
      </c>
      <c r="H327" s="117">
        <v>44770</v>
      </c>
      <c r="I327" s="115">
        <v>1425</v>
      </c>
      <c r="J327" s="115">
        <v>11.45</v>
      </c>
      <c r="K327" s="115">
        <v>9.0500000000000007</v>
      </c>
      <c r="L327" s="119">
        <f t="shared" ca="1" si="1204"/>
        <v>0</v>
      </c>
      <c r="M327" s="119">
        <f t="shared" si="1205"/>
        <v>-3419.9999999999982</v>
      </c>
      <c r="N327" s="115">
        <f t="shared" si="1206"/>
        <v>0.79039301310043675</v>
      </c>
      <c r="O327" s="156">
        <f t="shared" si="1207"/>
        <v>8.5874999999999986</v>
      </c>
      <c r="P327" s="160">
        <f t="shared" si="754"/>
        <v>16316.249999999998</v>
      </c>
      <c r="Q327" s="160" t="e">
        <f t="shared" si="1208"/>
        <v>#N/A</v>
      </c>
      <c r="R327" s="153" t="e">
        <f t="shared" ca="1" si="876"/>
        <v>#VALUE!</v>
      </c>
      <c r="S327" s="119">
        <f t="shared" si="1209"/>
        <v>1.1449999999999996</v>
      </c>
      <c r="T327" s="115" t="e">
        <f>VLOOKUP(TRIM($F327),Reference!B:C,2,0)</f>
        <v>#VALUE!</v>
      </c>
      <c r="U327" s="170">
        <f t="shared" ca="1" si="1210"/>
        <v>0</v>
      </c>
      <c r="V327" s="120" t="str">
        <f t="shared" si="865"/>
        <v>TATAMOTORS22JUL400PE</v>
      </c>
      <c r="W327" s="158" t="e">
        <f>VLOOKUP($V327,Reference!BA:BD,4,0)</f>
        <v>#N/A</v>
      </c>
      <c r="X327" s="160">
        <f t="shared" ca="1" si="866"/>
        <v>0</v>
      </c>
      <c r="Y327" s="160">
        <f t="shared" ca="1" si="867"/>
        <v>0</v>
      </c>
      <c r="Z327" s="160">
        <f t="shared" ca="1" si="879"/>
        <v>0</v>
      </c>
      <c r="AA327" s="160">
        <f t="shared" ca="1" si="868"/>
        <v>0</v>
      </c>
      <c r="AB327" s="160">
        <f t="shared" ca="1" si="869"/>
        <v>0</v>
      </c>
      <c r="AC327" s="119">
        <f t="shared" ca="1" si="870"/>
        <v>0</v>
      </c>
      <c r="AD327" s="115">
        <f t="shared" ca="1" si="1211"/>
        <v>-1.1342465753424658</v>
      </c>
      <c r="AE327" s="115">
        <f t="shared" si="1212"/>
        <v>20</v>
      </c>
      <c r="AF327" s="115"/>
      <c r="AG327" s="115"/>
      <c r="AH327" s="115">
        <f t="shared" si="755"/>
        <v>0</v>
      </c>
      <c r="AI327" s="115"/>
      <c r="AJ327" s="115">
        <f t="shared" si="756"/>
        <v>0.48948749999999996</v>
      </c>
      <c r="AK327" s="115"/>
      <c r="AL327" s="142"/>
      <c r="AM327" s="153"/>
      <c r="AN327" s="153"/>
      <c r="AO327" s="153"/>
      <c r="AP327" s="153"/>
      <c r="AQ327" s="153"/>
      <c r="AR327" s="153"/>
      <c r="AS327" s="153"/>
      <c r="AT327" s="153"/>
      <c r="AU327" s="153"/>
      <c r="AV327" s="153"/>
      <c r="AW327" s="153"/>
      <c r="AX327" s="153"/>
      <c r="AY327" s="153"/>
      <c r="AZ327" s="153"/>
      <c r="BA327" s="153"/>
      <c r="BB327" s="153"/>
      <c r="BC327" s="153"/>
      <c r="BD327" s="153"/>
      <c r="BE327" s="153"/>
      <c r="BF327" s="153"/>
      <c r="BG327" s="153"/>
      <c r="BS327" s="13">
        <v>2</v>
      </c>
      <c r="BT327" s="123">
        <v>44491</v>
      </c>
      <c r="BU327" s="116" t="s">
        <v>8</v>
      </c>
      <c r="BV327" s="115" t="s">
        <v>482</v>
      </c>
      <c r="BW327" s="116" t="s">
        <v>502</v>
      </c>
      <c r="BX327" s="115">
        <v>18400</v>
      </c>
      <c r="BY327" s="115">
        <v>41.7</v>
      </c>
      <c r="BZ327" s="115">
        <v>47.945</v>
      </c>
      <c r="CA327" s="119">
        <v>-3216.6708800000001</v>
      </c>
      <c r="CB327" s="115">
        <v>1.1497601918465228</v>
      </c>
      <c r="CC327" s="115">
        <v>500</v>
      </c>
      <c r="CD327" s="115">
        <v>50</v>
      </c>
      <c r="CE327" s="119">
        <v>20850</v>
      </c>
    </row>
    <row r="328" spans="1:83" hidden="1">
      <c r="A328" s="13">
        <f t="shared" si="753"/>
        <v>321</v>
      </c>
      <c r="B328" s="123">
        <v>44711</v>
      </c>
      <c r="C328" s="116" t="s">
        <v>8</v>
      </c>
      <c r="D328" s="116">
        <v>1</v>
      </c>
      <c r="E328" s="115" t="s">
        <v>482</v>
      </c>
      <c r="F328" s="116" t="s">
        <v>130</v>
      </c>
      <c r="G328" s="115">
        <v>235</v>
      </c>
      <c r="H328" s="117">
        <v>44742</v>
      </c>
      <c r="I328" s="115">
        <v>3375</v>
      </c>
      <c r="J328" s="115">
        <v>12.7</v>
      </c>
      <c r="K328" s="115">
        <v>26.95</v>
      </c>
      <c r="L328" s="119">
        <f t="shared" ca="1" si="1204"/>
        <v>0</v>
      </c>
      <c r="M328" s="119">
        <f t="shared" si="1205"/>
        <v>-48093.75</v>
      </c>
      <c r="N328" s="115">
        <f t="shared" si="1206"/>
        <v>2.1220472440944884</v>
      </c>
      <c r="O328" s="156">
        <f t="shared" si="1207"/>
        <v>15.875</v>
      </c>
      <c r="P328" s="160">
        <f t="shared" si="754"/>
        <v>42862.5</v>
      </c>
      <c r="Q328" s="160" t="e">
        <f t="shared" si="1208"/>
        <v>#N/A</v>
      </c>
      <c r="R328" s="153" t="e">
        <f t="shared" ca="1" si="876"/>
        <v>#VALUE!</v>
      </c>
      <c r="S328" s="119">
        <f t="shared" si="1209"/>
        <v>1.2699999999999996</v>
      </c>
      <c r="T328" s="115" t="e">
        <f>VLOOKUP(TRIM($F328),Reference!B:C,2,0)</f>
        <v>#VALUE!</v>
      </c>
      <c r="U328" s="170">
        <f t="shared" ca="1" si="1210"/>
        <v>0</v>
      </c>
      <c r="V328" s="120" t="str">
        <f t="shared" ref="V328:V391" si="1213">TRIM(F328)&amp;TEXT(H328,"YY")&amp;UPPER(TEXT(H328,"MMM"))&amp;TRIM(G328)&amp;TRIM(E328)</f>
        <v>TATAPOWER22JUN235PE</v>
      </c>
      <c r="W328" s="158" t="e">
        <f>VLOOKUP($V328,Reference!BA:BD,4,0)</f>
        <v>#N/A</v>
      </c>
      <c r="X328" s="160">
        <f t="shared" ref="X328:X391" ca="1" si="1214">IF(OR($AD328&lt;0,$K328&lt;&gt;0),0,IF($E328="FUT",W328,OptionPrice(LEFT($E328),$T328,$G328,$AD328,RISKFREE_RATE,$U328,NIFTY_DIVYLD))*IF(C328="B",1,-1)*IF(I328=0,0,1)*IF(K328=0,1,0)*I328)</f>
        <v>0</v>
      </c>
      <c r="Y328" s="160">
        <f t="shared" ref="Y328:Y391" ca="1" si="1215">IF(OR($AD328&lt;0,$K328&lt;&gt;0),0,IF($E328="FUT",1,OptionDelta(LEFT(E328),T328,G328,AD328,RISKFREE_RATE,U328,NIFTY_DIVYLD)))</f>
        <v>0</v>
      </c>
      <c r="Z328" s="160">
        <f t="shared" ca="1" si="879"/>
        <v>0</v>
      </c>
      <c r="AA328" s="160">
        <f t="shared" ref="AA328:AA391" ca="1" si="1216">IF(OR($AD328&lt;0,$K328&lt;&gt;0),0,IF($E328="FUT",0,OptionTheta(LEFT(E328),T328,G328,AD328,RISKFREE_RATE,U328,NIFTY_DIVYLD))*IF(C328="B",1,-1)*IF(I328=0,0,1)*IF(K328=0,1,0)*I328)</f>
        <v>0</v>
      </c>
      <c r="AB328" s="160">
        <f t="shared" ref="AB328:AB391" ca="1" si="1217">IF(OR($AD328&lt;0,$K328&lt;&gt;0),0,IF($E328="FUT",0,OptionGamma(T328,G328,AD328,RISKFREE_RATE,U328,NIFTY_DIVYLD))*IF(C328="B",1,-1)*IF(I328=0,0,1)*IF(K328=0,1,0))</f>
        <v>0</v>
      </c>
      <c r="AC328" s="119">
        <f t="shared" ref="AC328:AC391" ca="1" si="1218">IF(OR($AD328&lt;0,$K328&lt;&gt;0),0,IF($E328="FUT",0,ImpliedVolatility(LEFT(E328),T328,G328,RISKFREE_RATE,AD328,NIFTY_DIVYLD,W328,$AC$6)))</f>
        <v>0</v>
      </c>
      <c r="AD328" s="115">
        <f t="shared" ca="1" si="1211"/>
        <v>-1.210958904109589</v>
      </c>
      <c r="AE328" s="115">
        <f t="shared" si="1212"/>
        <v>20</v>
      </c>
      <c r="AF328" s="115"/>
      <c r="AG328" s="115"/>
      <c r="AH328" s="115">
        <f t="shared" si="755"/>
        <v>21.431250000000002</v>
      </c>
      <c r="AI328" s="115"/>
      <c r="AJ328" s="115">
        <f t="shared" si="756"/>
        <v>0</v>
      </c>
      <c r="AK328" s="115"/>
      <c r="AL328" s="142"/>
      <c r="AM328" s="153"/>
      <c r="AN328" s="153"/>
      <c r="AO328" s="153"/>
      <c r="AP328" s="153"/>
      <c r="AQ328" s="153"/>
      <c r="AR328" s="153"/>
      <c r="AS328" s="153"/>
      <c r="AT328" s="153"/>
      <c r="AU328" s="153"/>
      <c r="AV328" s="153"/>
      <c r="AW328" s="153"/>
      <c r="AX328" s="153"/>
      <c r="AY328" s="153"/>
      <c r="AZ328" s="153"/>
      <c r="BA328" s="153"/>
      <c r="BB328" s="153"/>
      <c r="BC328" s="153"/>
      <c r="BD328" s="153"/>
      <c r="BE328" s="153"/>
      <c r="BF328" s="153"/>
      <c r="BG328" s="153"/>
      <c r="BS328" s="13">
        <v>2</v>
      </c>
      <c r="BT328" s="123">
        <v>44491</v>
      </c>
      <c r="BU328" s="116" t="s">
        <v>8</v>
      </c>
      <c r="BV328" s="115" t="s">
        <v>482</v>
      </c>
      <c r="BW328" s="116" t="s">
        <v>502</v>
      </c>
      <c r="BX328" s="115">
        <v>18400</v>
      </c>
      <c r="BY328" s="115">
        <v>41.7</v>
      </c>
      <c r="BZ328" s="115">
        <v>47.945</v>
      </c>
      <c r="CA328" s="119">
        <v>-3216.6708800000001</v>
      </c>
      <c r="CB328" s="115">
        <v>1.1497601918465228</v>
      </c>
      <c r="CC328" s="115">
        <v>500</v>
      </c>
      <c r="CD328" s="115">
        <v>50</v>
      </c>
      <c r="CE328" s="119">
        <v>20850</v>
      </c>
    </row>
    <row r="329" spans="1:83" hidden="1">
      <c r="A329" s="13">
        <f t="shared" si="753"/>
        <v>322</v>
      </c>
      <c r="B329" s="123">
        <v>44711</v>
      </c>
      <c r="C329" s="116" t="s">
        <v>6</v>
      </c>
      <c r="D329" s="116">
        <v>1</v>
      </c>
      <c r="E329" s="115" t="s">
        <v>482</v>
      </c>
      <c r="F329" s="116" t="s">
        <v>399</v>
      </c>
      <c r="G329" s="115">
        <v>1600</v>
      </c>
      <c r="H329" s="117">
        <v>44770</v>
      </c>
      <c r="I329" s="115">
        <v>300</v>
      </c>
      <c r="J329" s="115">
        <v>45</v>
      </c>
      <c r="K329" s="115">
        <v>15.4</v>
      </c>
      <c r="L329" s="119">
        <f t="shared" ca="1" si="1204"/>
        <v>0</v>
      </c>
      <c r="M329" s="119">
        <f t="shared" si="1205"/>
        <v>-8880</v>
      </c>
      <c r="N329" s="115">
        <f t="shared" si="1206"/>
        <v>0.34222222222222221</v>
      </c>
      <c r="O329" s="156">
        <f t="shared" si="1207"/>
        <v>33.75</v>
      </c>
      <c r="P329" s="160">
        <f t="shared" si="754"/>
        <v>13500</v>
      </c>
      <c r="Q329" s="160" t="e">
        <f t="shared" si="1208"/>
        <v>#N/A</v>
      </c>
      <c r="R329" s="153" t="e">
        <f t="shared" ref="R329:R392" ca="1" si="1219">Z329*T329</f>
        <v>#VALUE!</v>
      </c>
      <c r="S329" s="119">
        <f t="shared" si="1209"/>
        <v>4.4999999999999991</v>
      </c>
      <c r="T329" s="115" t="e">
        <f>VLOOKUP(TRIM($F329),Reference!B:C,2,0)</f>
        <v>#VALUE!</v>
      </c>
      <c r="U329" s="170">
        <f t="shared" ca="1" si="1210"/>
        <v>0</v>
      </c>
      <c r="V329" s="120" t="str">
        <f t="shared" si="1213"/>
        <v>LT22JUL1600PE</v>
      </c>
      <c r="W329" s="158" t="e">
        <f>VLOOKUP($V329,Reference!BA:BD,4,0)</f>
        <v>#N/A</v>
      </c>
      <c r="X329" s="160">
        <f t="shared" ca="1" si="1214"/>
        <v>0</v>
      </c>
      <c r="Y329" s="160">
        <f t="shared" ca="1" si="1215"/>
        <v>0</v>
      </c>
      <c r="Z329" s="160">
        <f t="shared" ref="Z329:Z392" ca="1" si="1220">Y329*IF(C329="B",1,-1)*IF(I329=0,0,1)*IF(K329=0,1,0)*I329</f>
        <v>0</v>
      </c>
      <c r="AA329" s="160">
        <f t="shared" ca="1" si="1216"/>
        <v>0</v>
      </c>
      <c r="AB329" s="160">
        <f t="shared" ca="1" si="1217"/>
        <v>0</v>
      </c>
      <c r="AC329" s="119">
        <f t="shared" ca="1" si="1218"/>
        <v>0</v>
      </c>
      <c r="AD329" s="115">
        <f t="shared" ca="1" si="1211"/>
        <v>-1.1342465753424658</v>
      </c>
      <c r="AE329" s="115">
        <f t="shared" si="1212"/>
        <v>20</v>
      </c>
      <c r="AF329" s="115"/>
      <c r="AG329" s="115"/>
      <c r="AH329" s="115">
        <f t="shared" si="755"/>
        <v>0</v>
      </c>
      <c r="AI329" s="115"/>
      <c r="AJ329" s="115">
        <f t="shared" si="756"/>
        <v>0.40500000000000003</v>
      </c>
      <c r="AK329" s="115"/>
      <c r="AL329" s="142"/>
      <c r="AM329" s="153"/>
      <c r="AN329" s="153"/>
      <c r="AO329" s="153"/>
      <c r="AP329" s="153"/>
      <c r="AQ329" s="153"/>
      <c r="AR329" s="153"/>
      <c r="AS329" s="153"/>
      <c r="AT329" s="153"/>
      <c r="AU329" s="153"/>
      <c r="AV329" s="153"/>
      <c r="AW329" s="153"/>
      <c r="AX329" s="153"/>
      <c r="AY329" s="153"/>
      <c r="AZ329" s="153"/>
      <c r="BA329" s="153"/>
      <c r="BB329" s="153"/>
      <c r="BC329" s="153"/>
      <c r="BD329" s="153"/>
      <c r="BE329" s="153"/>
      <c r="BF329" s="153"/>
      <c r="BG329" s="153"/>
      <c r="BS329" s="13">
        <v>2</v>
      </c>
      <c r="BT329" s="123">
        <v>44491</v>
      </c>
      <c r="BU329" s="116" t="s">
        <v>8</v>
      </c>
      <c r="BV329" s="115" t="s">
        <v>482</v>
      </c>
      <c r="BW329" s="116" t="s">
        <v>502</v>
      </c>
      <c r="BX329" s="115">
        <v>18400</v>
      </c>
      <c r="BY329" s="115">
        <v>41.7</v>
      </c>
      <c r="BZ329" s="115">
        <v>47.945</v>
      </c>
      <c r="CA329" s="119">
        <v>-3216.6708800000001</v>
      </c>
      <c r="CB329" s="115">
        <v>1.1497601918465228</v>
      </c>
      <c r="CC329" s="115">
        <v>500</v>
      </c>
      <c r="CD329" s="115">
        <v>50</v>
      </c>
      <c r="CE329" s="119">
        <v>20850</v>
      </c>
    </row>
    <row r="330" spans="1:83" hidden="1">
      <c r="A330" s="13">
        <f t="shared" si="753"/>
        <v>323</v>
      </c>
      <c r="B330" s="123">
        <v>44711</v>
      </c>
      <c r="C330" s="116" t="s">
        <v>8</v>
      </c>
      <c r="D330" s="116">
        <v>1</v>
      </c>
      <c r="E330" s="115" t="s">
        <v>481</v>
      </c>
      <c r="F330" s="116" t="s">
        <v>399</v>
      </c>
      <c r="G330" s="115">
        <v>1680</v>
      </c>
      <c r="H330" s="117">
        <v>44742</v>
      </c>
      <c r="I330" s="115">
        <v>575</v>
      </c>
      <c r="J330" s="115">
        <v>33</v>
      </c>
      <c r="K330" s="115">
        <v>0.15</v>
      </c>
      <c r="L330" s="119">
        <f t="shared" ref="L330:L334" ca="1" si="1221">IF(AND(K330&lt;&gt;0,I330&lt;&gt;0),(IF(C330="B",1,-1))*(K330-J330)*I330-AK330*2,0)*$D330*IF(MONTH($B$2)=MONTH($H330),1,0)</f>
        <v>0</v>
      </c>
      <c r="M330" s="119">
        <f t="shared" ref="M330:M334" si="1222">IF(AND(K330&lt;&gt;0,I330&lt;&gt;0),(IF(C330="B",1,-1))*(K330-J330)*I330-AK330*2,0)*$D330</f>
        <v>18888.75</v>
      </c>
      <c r="N330" s="115">
        <f t="shared" ref="N330:N334" si="1223">K330/$J330</f>
        <v>4.5454545454545452E-3</v>
      </c>
      <c r="O330" s="156">
        <f t="shared" ref="O330:O334" si="1224">J330*(1+$O$6*IF(C330="B",-1,1))</f>
        <v>41.25</v>
      </c>
      <c r="P330" s="160">
        <f t="shared" si="754"/>
        <v>18975</v>
      </c>
      <c r="Q330" s="160" t="e">
        <f t="shared" ref="Q330:Q334" si="1225">(W330-J330)*I330*IF(C330="B",1,-1)*IF(K330=0,1,0)</f>
        <v>#N/A</v>
      </c>
      <c r="R330" s="153" t="e">
        <f t="shared" ca="1" si="1219"/>
        <v>#VALUE!</v>
      </c>
      <c r="S330" s="119">
        <f t="shared" ref="S330:S334" si="1226">(1-$S$6)*J330</f>
        <v>3.2999999999999994</v>
      </c>
      <c r="T330" s="115" t="e">
        <f>VLOOKUP(TRIM($F330),Reference!B:C,2,0)</f>
        <v>#VALUE!</v>
      </c>
      <c r="U330" s="170">
        <f t="shared" ref="U330:U334" ca="1" si="1227">AC330</f>
        <v>0</v>
      </c>
      <c r="V330" s="120" t="str">
        <f t="shared" si="1213"/>
        <v>LT22JUN1680CE</v>
      </c>
      <c r="W330" s="158" t="e">
        <f>VLOOKUP($V330,Reference!BA:BD,4,0)</f>
        <v>#N/A</v>
      </c>
      <c r="X330" s="160">
        <f t="shared" ca="1" si="1214"/>
        <v>0</v>
      </c>
      <c r="Y330" s="160">
        <f t="shared" ca="1" si="1215"/>
        <v>0</v>
      </c>
      <c r="Z330" s="160">
        <f t="shared" ca="1" si="1220"/>
        <v>0</v>
      </c>
      <c r="AA330" s="160">
        <f t="shared" ca="1" si="1216"/>
        <v>0</v>
      </c>
      <c r="AB330" s="160">
        <f t="shared" ca="1" si="1217"/>
        <v>0</v>
      </c>
      <c r="AC330" s="119">
        <f t="shared" ca="1" si="1218"/>
        <v>0</v>
      </c>
      <c r="AD330" s="115">
        <f t="shared" ref="AD330:AD334" ca="1" si="1228">(H330-TODAY())/365</f>
        <v>-1.210958904109589</v>
      </c>
      <c r="AE330" s="115">
        <f t="shared" ref="AE330:AE334" si="1229">IF(I330&lt;&gt;0,20,0)</f>
        <v>20</v>
      </c>
      <c r="AF330" s="115"/>
      <c r="AG330" s="115"/>
      <c r="AH330" s="115">
        <f t="shared" si="755"/>
        <v>9.4875000000000007</v>
      </c>
      <c r="AI330" s="115"/>
      <c r="AJ330" s="115">
        <f t="shared" si="756"/>
        <v>0</v>
      </c>
      <c r="AK330" s="115"/>
      <c r="AL330" s="142"/>
      <c r="AM330" s="153"/>
      <c r="AN330" s="153"/>
      <c r="AO330" s="153"/>
      <c r="AP330" s="153"/>
      <c r="AQ330" s="153"/>
      <c r="AR330" s="153"/>
      <c r="AS330" s="153"/>
      <c r="AT330" s="153"/>
      <c r="AU330" s="153"/>
      <c r="AV330" s="153"/>
      <c r="AW330" s="153"/>
      <c r="AX330" s="153"/>
      <c r="AY330" s="153"/>
      <c r="AZ330" s="153"/>
      <c r="BA330" s="153"/>
      <c r="BB330" s="153"/>
      <c r="BC330" s="153"/>
      <c r="BD330" s="153"/>
      <c r="BE330" s="153"/>
      <c r="BF330" s="153"/>
      <c r="BG330" s="153"/>
      <c r="BS330" s="13">
        <v>2</v>
      </c>
      <c r="BT330" s="123">
        <v>44491</v>
      </c>
      <c r="BU330" s="116" t="s">
        <v>8</v>
      </c>
      <c r="BV330" s="115" t="s">
        <v>482</v>
      </c>
      <c r="BW330" s="116" t="s">
        <v>502</v>
      </c>
      <c r="BX330" s="115">
        <v>18400</v>
      </c>
      <c r="BY330" s="115">
        <v>41.7</v>
      </c>
      <c r="BZ330" s="115">
        <v>47.945</v>
      </c>
      <c r="CA330" s="119">
        <v>-3216.6708800000001</v>
      </c>
      <c r="CB330" s="115">
        <v>1.1497601918465228</v>
      </c>
      <c r="CC330" s="115">
        <v>500</v>
      </c>
      <c r="CD330" s="115">
        <v>50</v>
      </c>
      <c r="CE330" s="119">
        <v>20850</v>
      </c>
    </row>
    <row r="331" spans="1:83" hidden="1">
      <c r="A331" s="13">
        <f t="shared" si="753"/>
        <v>324</v>
      </c>
      <c r="B331" s="123">
        <v>44711</v>
      </c>
      <c r="C331" s="116" t="s">
        <v>8</v>
      </c>
      <c r="D331" s="116">
        <v>1</v>
      </c>
      <c r="E331" s="115" t="s">
        <v>481</v>
      </c>
      <c r="F331" s="116" t="s">
        <v>502</v>
      </c>
      <c r="G331" s="115">
        <v>17000</v>
      </c>
      <c r="H331" s="117">
        <v>44742</v>
      </c>
      <c r="I331" s="115">
        <v>50</v>
      </c>
      <c r="J331" s="115">
        <v>186</v>
      </c>
      <c r="K331" s="115">
        <v>1.35</v>
      </c>
      <c r="L331" s="119">
        <f t="shared" ca="1" si="1221"/>
        <v>0</v>
      </c>
      <c r="M331" s="119">
        <f t="shared" si="1222"/>
        <v>9232.5</v>
      </c>
      <c r="N331" s="115">
        <f t="shared" si="1223"/>
        <v>7.2580645161290326E-3</v>
      </c>
      <c r="O331" s="156">
        <f t="shared" si="1224"/>
        <v>232.5</v>
      </c>
      <c r="P331" s="160">
        <f t="shared" si="754"/>
        <v>9300</v>
      </c>
      <c r="Q331" s="160" t="e">
        <f t="shared" si="1225"/>
        <v>#N/A</v>
      </c>
      <c r="R331" s="153" t="e">
        <f t="shared" ca="1" si="1219"/>
        <v>#VALUE!</v>
      </c>
      <c r="S331" s="119">
        <f t="shared" si="1226"/>
        <v>18.599999999999994</v>
      </c>
      <c r="T331" s="115" t="str">
        <f>VLOOKUP(TRIM($F331),Reference!B:C,2,0)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31" s="170">
        <f t="shared" ca="1" si="1227"/>
        <v>0</v>
      </c>
      <c r="V331" s="120" t="str">
        <f t="shared" si="1213"/>
        <v>NIFTY22JUN17000CE</v>
      </c>
      <c r="W331" s="158" t="e">
        <f>VLOOKUP($V331,Reference!BA:BD,4,0)</f>
        <v>#N/A</v>
      </c>
      <c r="X331" s="160">
        <f t="shared" ca="1" si="1214"/>
        <v>0</v>
      </c>
      <c r="Y331" s="160">
        <f t="shared" ca="1" si="1215"/>
        <v>0</v>
      </c>
      <c r="Z331" s="160">
        <f t="shared" ca="1" si="1220"/>
        <v>0</v>
      </c>
      <c r="AA331" s="160">
        <f t="shared" ca="1" si="1216"/>
        <v>0</v>
      </c>
      <c r="AB331" s="160">
        <f t="shared" ca="1" si="1217"/>
        <v>0</v>
      </c>
      <c r="AC331" s="119">
        <f t="shared" ca="1" si="1218"/>
        <v>0</v>
      </c>
      <c r="AD331" s="115">
        <f t="shared" ca="1" si="1228"/>
        <v>-1.210958904109589</v>
      </c>
      <c r="AE331" s="115">
        <f t="shared" si="1229"/>
        <v>20</v>
      </c>
      <c r="AF331" s="115"/>
      <c r="AG331" s="115"/>
      <c r="AH331" s="115">
        <f t="shared" si="755"/>
        <v>4.6500000000000004</v>
      </c>
      <c r="AI331" s="115"/>
      <c r="AJ331" s="115">
        <f t="shared" si="756"/>
        <v>0</v>
      </c>
      <c r="AK331" s="115"/>
      <c r="AL331" s="142"/>
      <c r="AM331" s="153"/>
      <c r="AN331" s="153"/>
      <c r="AO331" s="153"/>
      <c r="AP331" s="153"/>
      <c r="AQ331" s="153"/>
      <c r="AR331" s="153"/>
      <c r="AS331" s="153"/>
      <c r="AT331" s="153"/>
      <c r="AU331" s="153"/>
      <c r="AV331" s="153"/>
      <c r="AW331" s="153"/>
      <c r="AX331" s="153"/>
      <c r="AY331" s="153"/>
      <c r="AZ331" s="153"/>
      <c r="BA331" s="153"/>
      <c r="BB331" s="153"/>
      <c r="BC331" s="153"/>
      <c r="BD331" s="153"/>
      <c r="BE331" s="153"/>
      <c r="BF331" s="153"/>
      <c r="BG331" s="153"/>
      <c r="BS331" s="13">
        <v>2</v>
      </c>
      <c r="BT331" s="123">
        <v>44491</v>
      </c>
      <c r="BU331" s="116" t="s">
        <v>8</v>
      </c>
      <c r="BV331" s="115" t="s">
        <v>482</v>
      </c>
      <c r="BW331" s="116" t="s">
        <v>502</v>
      </c>
      <c r="BX331" s="115">
        <v>18400</v>
      </c>
      <c r="BY331" s="115">
        <v>41.7</v>
      </c>
      <c r="BZ331" s="115">
        <v>47.945</v>
      </c>
      <c r="CA331" s="119">
        <v>-3216.6708800000001</v>
      </c>
      <c r="CB331" s="115">
        <v>1.1497601918465228</v>
      </c>
      <c r="CC331" s="115">
        <v>500</v>
      </c>
      <c r="CD331" s="115">
        <v>50</v>
      </c>
      <c r="CE331" s="119">
        <v>20850</v>
      </c>
    </row>
    <row r="332" spans="1:83" hidden="1">
      <c r="A332" s="13">
        <f t="shared" si="753"/>
        <v>325</v>
      </c>
      <c r="B332" s="123">
        <v>44711</v>
      </c>
      <c r="C332" s="116" t="s">
        <v>8</v>
      </c>
      <c r="D332" s="116">
        <v>1</v>
      </c>
      <c r="E332" s="115" t="s">
        <v>481</v>
      </c>
      <c r="F332" s="116" t="s">
        <v>90</v>
      </c>
      <c r="G332" s="115">
        <v>3500</v>
      </c>
      <c r="H332" s="117">
        <v>44742</v>
      </c>
      <c r="I332" s="115">
        <v>150</v>
      </c>
      <c r="J332" s="115">
        <v>36.549999999999997</v>
      </c>
      <c r="K332" s="115">
        <v>1.45</v>
      </c>
      <c r="L332" s="119">
        <f t="shared" ca="1" si="1221"/>
        <v>0</v>
      </c>
      <c r="M332" s="119">
        <f t="shared" si="1222"/>
        <v>5264.9999999999991</v>
      </c>
      <c r="N332" s="115">
        <f t="shared" si="1223"/>
        <v>3.9671682626538987E-2</v>
      </c>
      <c r="O332" s="156">
        <f t="shared" si="1224"/>
        <v>45.6875</v>
      </c>
      <c r="P332" s="160">
        <f t="shared" si="754"/>
        <v>5482.5</v>
      </c>
      <c r="Q332" s="160" t="e">
        <f t="shared" si="1225"/>
        <v>#N/A</v>
      </c>
      <c r="R332" s="153" t="e">
        <f t="shared" ca="1" si="1219"/>
        <v>#VALUE!</v>
      </c>
      <c r="S332" s="119">
        <f t="shared" si="1226"/>
        <v>3.6549999999999989</v>
      </c>
      <c r="T332" s="115" t="e">
        <f>VLOOKUP(TRIM($F332),Reference!B:C,2,0)</f>
        <v>#VALUE!</v>
      </c>
      <c r="U332" s="170">
        <f t="shared" ca="1" si="1227"/>
        <v>0</v>
      </c>
      <c r="V332" s="120" t="str">
        <f t="shared" si="1213"/>
        <v>TCS22JUN3500CE</v>
      </c>
      <c r="W332" s="158" t="e">
        <f>VLOOKUP($V332,Reference!BA:BD,4,0)</f>
        <v>#N/A</v>
      </c>
      <c r="X332" s="160">
        <f t="shared" ca="1" si="1214"/>
        <v>0</v>
      </c>
      <c r="Y332" s="160">
        <f t="shared" ca="1" si="1215"/>
        <v>0</v>
      </c>
      <c r="Z332" s="160">
        <f t="shared" ca="1" si="1220"/>
        <v>0</v>
      </c>
      <c r="AA332" s="160">
        <f t="shared" ca="1" si="1216"/>
        <v>0</v>
      </c>
      <c r="AB332" s="160">
        <f t="shared" ca="1" si="1217"/>
        <v>0</v>
      </c>
      <c r="AC332" s="119">
        <f t="shared" ca="1" si="1218"/>
        <v>0</v>
      </c>
      <c r="AD332" s="115">
        <f t="shared" ca="1" si="1228"/>
        <v>-1.210958904109589</v>
      </c>
      <c r="AE332" s="115">
        <f t="shared" si="1229"/>
        <v>20</v>
      </c>
      <c r="AF332" s="115"/>
      <c r="AG332" s="115"/>
      <c r="AH332" s="115">
        <f t="shared" si="755"/>
        <v>2.74125</v>
      </c>
      <c r="AI332" s="115"/>
      <c r="AJ332" s="115">
        <f t="shared" si="756"/>
        <v>0</v>
      </c>
      <c r="AK332" s="115"/>
      <c r="AL332" s="142"/>
      <c r="AM332" s="153"/>
      <c r="AN332" s="153"/>
      <c r="AO332" s="153"/>
      <c r="AP332" s="153"/>
      <c r="AQ332" s="153"/>
      <c r="AR332" s="153"/>
      <c r="AS332" s="153"/>
      <c r="AT332" s="153"/>
      <c r="AU332" s="153"/>
      <c r="AV332" s="153"/>
      <c r="AW332" s="153"/>
      <c r="AX332" s="153"/>
      <c r="AY332" s="153"/>
      <c r="AZ332" s="153"/>
      <c r="BA332" s="153"/>
      <c r="BB332" s="153"/>
      <c r="BC332" s="153"/>
      <c r="BD332" s="153"/>
      <c r="BE332" s="153"/>
      <c r="BF332" s="153"/>
      <c r="BG332" s="153"/>
      <c r="BS332" s="13">
        <v>2</v>
      </c>
      <c r="BT332" s="123">
        <v>44491</v>
      </c>
      <c r="BU332" s="116" t="s">
        <v>8</v>
      </c>
      <c r="BV332" s="115" t="s">
        <v>482</v>
      </c>
      <c r="BW332" s="116" t="s">
        <v>502</v>
      </c>
      <c r="BX332" s="115">
        <v>18400</v>
      </c>
      <c r="BY332" s="115">
        <v>41.7</v>
      </c>
      <c r="BZ332" s="115">
        <v>47.945</v>
      </c>
      <c r="CA332" s="119">
        <v>-3216.6708800000001</v>
      </c>
      <c r="CB332" s="115">
        <v>1.1497601918465228</v>
      </c>
      <c r="CC332" s="115">
        <v>500</v>
      </c>
      <c r="CD332" s="115">
        <v>50</v>
      </c>
      <c r="CE332" s="119">
        <v>20850</v>
      </c>
    </row>
    <row r="333" spans="1:83" hidden="1">
      <c r="A333" s="13">
        <f t="shared" si="753"/>
        <v>326</v>
      </c>
      <c r="B333" s="123">
        <v>44712</v>
      </c>
      <c r="C333" s="116" t="s">
        <v>6</v>
      </c>
      <c r="D333" s="116">
        <v>1</v>
      </c>
      <c r="E333" s="115" t="s">
        <v>632</v>
      </c>
      <c r="F333" s="116" t="s">
        <v>390</v>
      </c>
      <c r="G333" s="115" t="s">
        <v>568</v>
      </c>
      <c r="H333" s="117">
        <v>44770</v>
      </c>
      <c r="I333" s="115">
        <v>375</v>
      </c>
      <c r="J333" s="115">
        <v>2470</v>
      </c>
      <c r="K333" s="115">
        <v>0</v>
      </c>
      <c r="L333" s="119">
        <f t="shared" ca="1" si="1221"/>
        <v>0</v>
      </c>
      <c r="M333" s="119">
        <f t="shared" si="1222"/>
        <v>0</v>
      </c>
      <c r="N333" s="115">
        <f t="shared" si="1223"/>
        <v>0</v>
      </c>
      <c r="O333" s="156">
        <f t="shared" si="1224"/>
        <v>1852.5</v>
      </c>
      <c r="P333" s="160">
        <f t="shared" si="754"/>
        <v>926250</v>
      </c>
      <c r="Q333" s="160">
        <f t="shared" si="1225"/>
        <v>-97125</v>
      </c>
      <c r="R333" s="153" t="e">
        <f t="shared" ca="1" si="1219"/>
        <v>#VALUE!</v>
      </c>
      <c r="S333" s="119">
        <f t="shared" si="1226"/>
        <v>246.99999999999994</v>
      </c>
      <c r="T333" s="115" t="e">
        <f>VLOOKUP(TRIM($F333),Reference!B:C,2,0)</f>
        <v>#VALUE!</v>
      </c>
      <c r="U333" s="170">
        <f t="shared" ca="1" si="1227"/>
        <v>0</v>
      </c>
      <c r="V333" s="120" t="str">
        <f t="shared" si="1213"/>
        <v>SRF22JULFUT</v>
      </c>
      <c r="W333" s="158">
        <f>VLOOKUP($V333,Reference!BA:BD,4,0)</f>
        <v>2211</v>
      </c>
      <c r="X333" s="160">
        <f t="shared" ca="1" si="1214"/>
        <v>0</v>
      </c>
      <c r="Y333" s="160">
        <f t="shared" ca="1" si="1215"/>
        <v>0</v>
      </c>
      <c r="Z333" s="160">
        <f t="shared" ca="1" si="1220"/>
        <v>0</v>
      </c>
      <c r="AA333" s="160">
        <f t="shared" ca="1" si="1216"/>
        <v>0</v>
      </c>
      <c r="AB333" s="160">
        <f t="shared" ca="1" si="1217"/>
        <v>0</v>
      </c>
      <c r="AC333" s="119">
        <f t="shared" ca="1" si="1218"/>
        <v>0</v>
      </c>
      <c r="AD333" s="115">
        <f t="shared" ca="1" si="1228"/>
        <v>-1.1342465753424658</v>
      </c>
      <c r="AE333" s="115">
        <f t="shared" si="1229"/>
        <v>20</v>
      </c>
      <c r="AF333" s="115"/>
      <c r="AG333" s="115"/>
      <c r="AH333" s="115">
        <f t="shared" si="755"/>
        <v>0</v>
      </c>
      <c r="AI333" s="115"/>
      <c r="AJ333" s="115">
        <f t="shared" si="756"/>
        <v>27.787500000000001</v>
      </c>
      <c r="AK333" s="115"/>
      <c r="AL333" s="142"/>
      <c r="AM333" s="153"/>
      <c r="AN333" s="153"/>
      <c r="AO333" s="153"/>
      <c r="AP333" s="153"/>
      <c r="AQ333" s="153"/>
      <c r="AR333" s="153"/>
      <c r="AS333" s="153"/>
      <c r="AT333" s="153"/>
      <c r="AU333" s="153"/>
      <c r="AV333" s="153"/>
      <c r="AW333" s="153"/>
      <c r="AX333" s="153"/>
      <c r="AY333" s="153"/>
      <c r="AZ333" s="153"/>
      <c r="BA333" s="153"/>
      <c r="BB333" s="153"/>
      <c r="BC333" s="153"/>
      <c r="BD333" s="153"/>
      <c r="BE333" s="153"/>
      <c r="BF333" s="153"/>
      <c r="BG333" s="153"/>
      <c r="BS333" s="13">
        <v>2</v>
      </c>
      <c r="BT333" s="123">
        <v>44491</v>
      </c>
      <c r="BU333" s="116" t="s">
        <v>8</v>
      </c>
      <c r="BV333" s="115" t="s">
        <v>482</v>
      </c>
      <c r="BW333" s="116" t="s">
        <v>502</v>
      </c>
      <c r="BX333" s="115">
        <v>18400</v>
      </c>
      <c r="BY333" s="115">
        <v>41.7</v>
      </c>
      <c r="BZ333" s="115">
        <v>47.945</v>
      </c>
      <c r="CA333" s="119">
        <v>-3216.6708800000001</v>
      </c>
      <c r="CB333" s="115">
        <v>1.1497601918465228</v>
      </c>
      <c r="CC333" s="115">
        <v>500</v>
      </c>
      <c r="CD333" s="115">
        <v>50</v>
      </c>
      <c r="CE333" s="119">
        <v>20850</v>
      </c>
    </row>
    <row r="334" spans="1:83" hidden="1">
      <c r="A334" s="13">
        <f t="shared" si="753"/>
        <v>327</v>
      </c>
      <c r="B334" s="123">
        <v>44719</v>
      </c>
      <c r="C334" s="116" t="s">
        <v>6</v>
      </c>
      <c r="D334" s="116">
        <v>1</v>
      </c>
      <c r="E334" s="115" t="s">
        <v>632</v>
      </c>
      <c r="F334" s="116" t="s">
        <v>130</v>
      </c>
      <c r="G334" s="115" t="s">
        <v>568</v>
      </c>
      <c r="H334" s="117">
        <v>44770</v>
      </c>
      <c r="I334" s="115">
        <v>3375</v>
      </c>
      <c r="J334" s="115">
        <v>235.4</v>
      </c>
      <c r="K334" s="115">
        <v>0</v>
      </c>
      <c r="L334" s="119">
        <f t="shared" ca="1" si="1221"/>
        <v>0</v>
      </c>
      <c r="M334" s="119">
        <f t="shared" si="1222"/>
        <v>0</v>
      </c>
      <c r="N334" s="115">
        <f t="shared" si="1223"/>
        <v>0</v>
      </c>
      <c r="O334" s="156">
        <f t="shared" si="1224"/>
        <v>176.55</v>
      </c>
      <c r="P334" s="160">
        <f t="shared" si="754"/>
        <v>794475</v>
      </c>
      <c r="Q334" s="160">
        <f t="shared" si="1225"/>
        <v>-44718.75</v>
      </c>
      <c r="R334" s="153" t="e">
        <f t="shared" ca="1" si="1219"/>
        <v>#VALUE!</v>
      </c>
      <c r="S334" s="119">
        <f t="shared" si="1226"/>
        <v>23.539999999999996</v>
      </c>
      <c r="T334" s="115" t="e">
        <f>VLOOKUP(TRIM($F334),Reference!B:C,2,0)</f>
        <v>#VALUE!</v>
      </c>
      <c r="U334" s="170">
        <f t="shared" ca="1" si="1227"/>
        <v>0</v>
      </c>
      <c r="V334" s="120" t="str">
        <f t="shared" si="1213"/>
        <v>TATAPOWER22JULFUT</v>
      </c>
      <c r="W334" s="158">
        <f>VLOOKUP($V334,Reference!BA:BD,4,0)</f>
        <v>222.15</v>
      </c>
      <c r="X334" s="160">
        <f t="shared" ca="1" si="1214"/>
        <v>0</v>
      </c>
      <c r="Y334" s="160">
        <f t="shared" ca="1" si="1215"/>
        <v>0</v>
      </c>
      <c r="Z334" s="160">
        <f t="shared" ca="1" si="1220"/>
        <v>0</v>
      </c>
      <c r="AA334" s="160">
        <f t="shared" ca="1" si="1216"/>
        <v>0</v>
      </c>
      <c r="AB334" s="160">
        <f t="shared" ca="1" si="1217"/>
        <v>0</v>
      </c>
      <c r="AC334" s="119">
        <f t="shared" ca="1" si="1218"/>
        <v>0</v>
      </c>
      <c r="AD334" s="115">
        <f t="shared" ca="1" si="1228"/>
        <v>-1.1342465753424658</v>
      </c>
      <c r="AE334" s="115">
        <f t="shared" si="1229"/>
        <v>20</v>
      </c>
      <c r="AF334" s="115"/>
      <c r="AG334" s="115"/>
      <c r="AH334" s="115">
        <f t="shared" si="755"/>
        <v>0</v>
      </c>
      <c r="AI334" s="115"/>
      <c r="AJ334" s="115">
        <f t="shared" si="756"/>
        <v>23.834250000000001</v>
      </c>
      <c r="AK334" s="115"/>
      <c r="AL334" s="142"/>
      <c r="AM334" s="153"/>
      <c r="AN334" s="153"/>
      <c r="AO334" s="153"/>
      <c r="AP334" s="153"/>
      <c r="AQ334" s="153"/>
      <c r="AR334" s="153"/>
      <c r="AS334" s="153"/>
      <c r="AT334" s="153"/>
      <c r="AU334" s="153"/>
      <c r="AV334" s="153"/>
      <c r="AW334" s="153"/>
      <c r="AX334" s="153"/>
      <c r="AY334" s="153"/>
      <c r="AZ334" s="153"/>
      <c r="BA334" s="153"/>
      <c r="BB334" s="153"/>
      <c r="BC334" s="153"/>
      <c r="BD334" s="153"/>
      <c r="BE334" s="153"/>
      <c r="BF334" s="153"/>
      <c r="BG334" s="153"/>
      <c r="BS334" s="13">
        <v>2</v>
      </c>
      <c r="BT334" s="123">
        <v>44491</v>
      </c>
      <c r="BU334" s="116" t="s">
        <v>8</v>
      </c>
      <c r="BV334" s="115" t="s">
        <v>482</v>
      </c>
      <c r="BW334" s="116" t="s">
        <v>502</v>
      </c>
      <c r="BX334" s="115">
        <v>18400</v>
      </c>
      <c r="BY334" s="115">
        <v>41.7</v>
      </c>
      <c r="BZ334" s="115">
        <v>47.945</v>
      </c>
      <c r="CA334" s="119">
        <v>-3216.6708800000001</v>
      </c>
      <c r="CB334" s="115">
        <v>1.1497601918465228</v>
      </c>
      <c r="CC334" s="115">
        <v>500</v>
      </c>
      <c r="CD334" s="115">
        <v>50</v>
      </c>
      <c r="CE334" s="119">
        <v>20850</v>
      </c>
    </row>
    <row r="335" spans="1:83">
      <c r="A335" s="13">
        <f t="shared" si="753"/>
        <v>328</v>
      </c>
      <c r="B335" s="123">
        <v>44720</v>
      </c>
      <c r="C335" s="116" t="s">
        <v>6</v>
      </c>
      <c r="D335" s="116">
        <v>1</v>
      </c>
      <c r="E335" s="115" t="s">
        <v>632</v>
      </c>
      <c r="F335" s="116" t="s">
        <v>104</v>
      </c>
      <c r="G335" s="115" t="s">
        <v>568</v>
      </c>
      <c r="H335" s="117">
        <v>44770</v>
      </c>
      <c r="I335" s="115">
        <v>300</v>
      </c>
      <c r="J335" s="115">
        <v>2197.4</v>
      </c>
      <c r="K335" s="115">
        <v>2394.3000000000002</v>
      </c>
      <c r="L335" s="119">
        <f t="shared" ref="L335:L339" ca="1" si="1230">IF(AND(K335&lt;&gt;0,I335&lt;&gt;0),(IF(C335="B",1,-1))*(K335-J335)*I335-AK335*2,0)*$D335*IF(MONTH($B$2)=MONTH($H335),1,0)</f>
        <v>0</v>
      </c>
      <c r="M335" s="119">
        <f t="shared" ref="M335:M339" si="1231">IF(AND(K335&lt;&gt;0,I335&lt;&gt;0),(IF(C335="B",1,-1))*(K335-J335)*I335-AK335*2,0)*$D335</f>
        <v>59070.000000000029</v>
      </c>
      <c r="N335" s="115">
        <f t="shared" ref="N335:N339" si="1232">K335/$J335</f>
        <v>1.0896058978793119</v>
      </c>
      <c r="O335" s="156">
        <f t="shared" ref="O335:O339" si="1233">J335*(1+$O$6*IF(C335="B",-1,1))</f>
        <v>1648.0500000000002</v>
      </c>
      <c r="P335" s="160">
        <f t="shared" si="754"/>
        <v>659220</v>
      </c>
      <c r="Q335" s="160" t="e">
        <f t="shared" ref="Q335:Q339" si="1234">(W335-J335)*I335*IF(C335="B",1,-1)*IF(K335=0,1,0)</f>
        <v>#N/A</v>
      </c>
      <c r="R335" s="153" t="e">
        <f t="shared" ca="1" si="1219"/>
        <v>#VALUE!</v>
      </c>
      <c r="S335" s="119">
        <f t="shared" ref="S335:S339" si="1235">(1-$S$6)*J335</f>
        <v>219.73999999999995</v>
      </c>
      <c r="T335" s="115" t="e">
        <f>VLOOKUP(TRIM($F335),Reference!B:C,2,0)</f>
        <v>#VALUE!</v>
      </c>
      <c r="U335" s="170">
        <f t="shared" ref="U335:U339" ca="1" si="1236">AC335</f>
        <v>0</v>
      </c>
      <c r="V335" s="120" t="str">
        <f t="shared" si="1213"/>
        <v>HINDUNILVR22JULFUT</v>
      </c>
      <c r="W335" s="158" t="e">
        <f>VLOOKUP($V335,Reference!BA:BD,4,0)</f>
        <v>#N/A</v>
      </c>
      <c r="X335" s="160">
        <f t="shared" ca="1" si="1214"/>
        <v>0</v>
      </c>
      <c r="Y335" s="160">
        <f t="shared" ca="1" si="1215"/>
        <v>0</v>
      </c>
      <c r="Z335" s="160">
        <f t="shared" ca="1" si="1220"/>
        <v>0</v>
      </c>
      <c r="AA335" s="160">
        <f t="shared" ca="1" si="1216"/>
        <v>0</v>
      </c>
      <c r="AB335" s="160">
        <f t="shared" ca="1" si="1217"/>
        <v>0</v>
      </c>
      <c r="AC335" s="119">
        <f t="shared" ca="1" si="1218"/>
        <v>0</v>
      </c>
      <c r="AD335" s="115">
        <f t="shared" ref="AD335:AD339" ca="1" si="1237">(H335-TODAY())/365</f>
        <v>-1.1342465753424658</v>
      </c>
      <c r="AE335" s="115">
        <f t="shared" ref="AE335:AE339" si="1238">IF(I335&lt;&gt;0,20,0)</f>
        <v>20</v>
      </c>
      <c r="AF335" s="115"/>
      <c r="AG335" s="115"/>
      <c r="AH335" s="115">
        <f t="shared" si="755"/>
        <v>0</v>
      </c>
      <c r="AI335" s="115"/>
      <c r="AJ335" s="115">
        <f t="shared" si="756"/>
        <v>19.776600000000002</v>
      </c>
      <c r="AK335" s="115"/>
      <c r="AL335" s="142"/>
      <c r="AM335" s="153"/>
      <c r="AN335" s="153"/>
      <c r="AO335" s="153"/>
      <c r="AP335" s="153"/>
      <c r="AQ335" s="153"/>
      <c r="AR335" s="153"/>
      <c r="AS335" s="153"/>
      <c r="AT335" s="153"/>
      <c r="AU335" s="153"/>
      <c r="AV335" s="153"/>
      <c r="AW335" s="153"/>
      <c r="AX335" s="153"/>
      <c r="AY335" s="153"/>
      <c r="AZ335" s="153"/>
      <c r="BA335" s="153"/>
      <c r="BB335" s="153"/>
      <c r="BC335" s="153"/>
      <c r="BD335" s="153"/>
      <c r="BE335" s="153"/>
      <c r="BF335" s="153"/>
      <c r="BG335" s="153"/>
      <c r="BS335" s="13">
        <v>2</v>
      </c>
      <c r="BT335" s="123">
        <v>44491</v>
      </c>
      <c r="BU335" s="116" t="s">
        <v>8</v>
      </c>
      <c r="BV335" s="115" t="s">
        <v>482</v>
      </c>
      <c r="BW335" s="116" t="s">
        <v>502</v>
      </c>
      <c r="BX335" s="115">
        <v>18400</v>
      </c>
      <c r="BY335" s="115">
        <v>41.7</v>
      </c>
      <c r="BZ335" s="115">
        <v>47.945</v>
      </c>
      <c r="CA335" s="119">
        <v>-3216.6708800000001</v>
      </c>
      <c r="CB335" s="115">
        <v>1.1497601918465228</v>
      </c>
      <c r="CC335" s="115">
        <v>500</v>
      </c>
      <c r="CD335" s="115">
        <v>50</v>
      </c>
      <c r="CE335" s="119">
        <v>20850</v>
      </c>
    </row>
    <row r="336" spans="1:83">
      <c r="A336" s="13">
        <f t="shared" si="753"/>
        <v>329</v>
      </c>
      <c r="B336" s="123">
        <v>44720</v>
      </c>
      <c r="C336" s="116" t="s">
        <v>6</v>
      </c>
      <c r="D336" s="116">
        <v>1</v>
      </c>
      <c r="E336" s="115" t="s">
        <v>482</v>
      </c>
      <c r="F336" s="116" t="s">
        <v>104</v>
      </c>
      <c r="G336" s="115">
        <v>2160</v>
      </c>
      <c r="H336" s="117">
        <v>44742</v>
      </c>
      <c r="I336" s="115">
        <v>300</v>
      </c>
      <c r="J336" s="115">
        <v>39.799999999999997</v>
      </c>
      <c r="K336" s="115">
        <v>1.1499999999999999</v>
      </c>
      <c r="L336" s="119">
        <f t="shared" ca="1" si="1230"/>
        <v>0</v>
      </c>
      <c r="M336" s="119">
        <f t="shared" si="1231"/>
        <v>-11595</v>
      </c>
      <c r="N336" s="115">
        <f t="shared" si="1232"/>
        <v>2.8894472361809045E-2</v>
      </c>
      <c r="O336" s="156">
        <f t="shared" si="1233"/>
        <v>29.849999999999998</v>
      </c>
      <c r="P336" s="160">
        <f t="shared" si="754"/>
        <v>11940</v>
      </c>
      <c r="Q336" s="160" t="e">
        <f t="shared" si="1234"/>
        <v>#N/A</v>
      </c>
      <c r="R336" s="153" t="e">
        <f t="shared" ca="1" si="1219"/>
        <v>#VALUE!</v>
      </c>
      <c r="S336" s="119">
        <f t="shared" si="1235"/>
        <v>3.9799999999999986</v>
      </c>
      <c r="T336" s="115" t="e">
        <f>VLOOKUP(TRIM($F336),Reference!B:C,2,0)</f>
        <v>#VALUE!</v>
      </c>
      <c r="U336" s="170">
        <f t="shared" ca="1" si="1236"/>
        <v>0</v>
      </c>
      <c r="V336" s="120" t="str">
        <f t="shared" si="1213"/>
        <v>HINDUNILVR22JUN2160PE</v>
      </c>
      <c r="W336" s="158" t="e">
        <f>VLOOKUP($V336,Reference!BA:BD,4,0)</f>
        <v>#N/A</v>
      </c>
      <c r="X336" s="160">
        <f t="shared" ca="1" si="1214"/>
        <v>0</v>
      </c>
      <c r="Y336" s="160">
        <f t="shared" ca="1" si="1215"/>
        <v>0</v>
      </c>
      <c r="Z336" s="160">
        <f t="shared" ca="1" si="1220"/>
        <v>0</v>
      </c>
      <c r="AA336" s="160">
        <f t="shared" ca="1" si="1216"/>
        <v>0</v>
      </c>
      <c r="AB336" s="160">
        <f t="shared" ca="1" si="1217"/>
        <v>0</v>
      </c>
      <c r="AC336" s="119">
        <f t="shared" ca="1" si="1218"/>
        <v>0</v>
      </c>
      <c r="AD336" s="115">
        <f t="shared" ca="1" si="1237"/>
        <v>-1.210958904109589</v>
      </c>
      <c r="AE336" s="115">
        <f t="shared" si="1238"/>
        <v>20</v>
      </c>
      <c r="AF336" s="115"/>
      <c r="AG336" s="115"/>
      <c r="AH336" s="115">
        <f t="shared" si="755"/>
        <v>0</v>
      </c>
      <c r="AI336" s="115"/>
      <c r="AJ336" s="115">
        <f t="shared" si="756"/>
        <v>0.35820000000000002</v>
      </c>
      <c r="AK336" s="115"/>
      <c r="AL336" s="142"/>
      <c r="AM336" s="153"/>
      <c r="AN336" s="153"/>
      <c r="AO336" s="153"/>
      <c r="AP336" s="153"/>
      <c r="AQ336" s="153"/>
      <c r="AR336" s="153"/>
      <c r="AS336" s="153"/>
      <c r="AT336" s="153"/>
      <c r="AU336" s="153"/>
      <c r="AV336" s="153"/>
      <c r="AW336" s="153"/>
      <c r="AX336" s="153"/>
      <c r="AY336" s="153"/>
      <c r="AZ336" s="153"/>
      <c r="BA336" s="153"/>
      <c r="BB336" s="153"/>
      <c r="BC336" s="153"/>
      <c r="BD336" s="153"/>
      <c r="BE336" s="153"/>
      <c r="BF336" s="153"/>
      <c r="BG336" s="153"/>
      <c r="BS336" s="13">
        <v>2</v>
      </c>
      <c r="BT336" s="123">
        <v>44491</v>
      </c>
      <c r="BU336" s="116" t="s">
        <v>8</v>
      </c>
      <c r="BV336" s="115" t="s">
        <v>482</v>
      </c>
      <c r="BW336" s="116" t="s">
        <v>502</v>
      </c>
      <c r="BX336" s="115">
        <v>18400</v>
      </c>
      <c r="BY336" s="115">
        <v>41.7</v>
      </c>
      <c r="BZ336" s="115">
        <v>47.945</v>
      </c>
      <c r="CA336" s="119">
        <v>-3216.6708800000001</v>
      </c>
      <c r="CB336" s="115">
        <v>1.1497601918465228</v>
      </c>
      <c r="CC336" s="115">
        <v>500</v>
      </c>
      <c r="CD336" s="115">
        <v>50</v>
      </c>
      <c r="CE336" s="119">
        <v>20850</v>
      </c>
    </row>
    <row r="337" spans="1:83" hidden="1">
      <c r="A337" s="13">
        <f t="shared" si="753"/>
        <v>330</v>
      </c>
      <c r="B337" s="123">
        <v>44721</v>
      </c>
      <c r="C337" s="116" t="s">
        <v>6</v>
      </c>
      <c r="D337" s="116">
        <v>1</v>
      </c>
      <c r="E337" s="115" t="s">
        <v>632</v>
      </c>
      <c r="F337" s="116" t="s">
        <v>126</v>
      </c>
      <c r="G337" s="115" t="s">
        <v>568</v>
      </c>
      <c r="H337" s="117">
        <v>44770</v>
      </c>
      <c r="I337" s="115">
        <v>3750</v>
      </c>
      <c r="J337" s="115">
        <v>184</v>
      </c>
      <c r="K337" s="115">
        <v>184.1</v>
      </c>
      <c r="L337" s="119">
        <f t="shared" ca="1" si="1230"/>
        <v>0</v>
      </c>
      <c r="M337" s="119">
        <f t="shared" si="1231"/>
        <v>374.99999999997868</v>
      </c>
      <c r="N337" s="115">
        <f t="shared" si="1232"/>
        <v>1.0005434782608695</v>
      </c>
      <c r="O337" s="156">
        <f t="shared" si="1233"/>
        <v>138</v>
      </c>
      <c r="P337" s="160">
        <f t="shared" si="754"/>
        <v>690000</v>
      </c>
      <c r="Q337" s="160">
        <f t="shared" si="1234"/>
        <v>0</v>
      </c>
      <c r="R337" s="153" t="e">
        <f t="shared" ca="1" si="1219"/>
        <v>#VALUE!</v>
      </c>
      <c r="S337" s="119">
        <f t="shared" si="1235"/>
        <v>18.399999999999995</v>
      </c>
      <c r="T337" s="115" t="e">
        <f>VLOOKUP(TRIM($F337),Reference!B:C,2,0)</f>
        <v>#VALUE!</v>
      </c>
      <c r="U337" s="170">
        <f t="shared" ca="1" si="1236"/>
        <v>0</v>
      </c>
      <c r="V337" s="120" t="str">
        <f t="shared" si="1213"/>
        <v>IEX22JULFUT</v>
      </c>
      <c r="W337" s="158">
        <f>VLOOKUP($V337,Reference!BA:BD,4,0)</f>
        <v>162.85</v>
      </c>
      <c r="X337" s="160">
        <f t="shared" ca="1" si="1214"/>
        <v>0</v>
      </c>
      <c r="Y337" s="160">
        <f t="shared" ca="1" si="1215"/>
        <v>0</v>
      </c>
      <c r="Z337" s="160">
        <f t="shared" ca="1" si="1220"/>
        <v>0</v>
      </c>
      <c r="AA337" s="160">
        <f t="shared" ca="1" si="1216"/>
        <v>0</v>
      </c>
      <c r="AB337" s="160">
        <f t="shared" ca="1" si="1217"/>
        <v>0</v>
      </c>
      <c r="AC337" s="119">
        <f t="shared" ca="1" si="1218"/>
        <v>0</v>
      </c>
      <c r="AD337" s="115">
        <f t="shared" ca="1" si="1237"/>
        <v>-1.1342465753424658</v>
      </c>
      <c r="AE337" s="115">
        <f t="shared" si="1238"/>
        <v>20</v>
      </c>
      <c r="AF337" s="115"/>
      <c r="AG337" s="115"/>
      <c r="AH337" s="115">
        <f t="shared" si="755"/>
        <v>0</v>
      </c>
      <c r="AI337" s="115"/>
      <c r="AJ337" s="115">
        <f t="shared" si="756"/>
        <v>20.7</v>
      </c>
      <c r="AK337" s="115"/>
      <c r="AL337" s="142"/>
      <c r="AM337" s="153"/>
      <c r="AN337" s="153"/>
      <c r="AO337" s="153"/>
      <c r="AP337" s="153"/>
      <c r="AQ337" s="153"/>
      <c r="AR337" s="153"/>
      <c r="AS337" s="153"/>
      <c r="AT337" s="153"/>
      <c r="AU337" s="153"/>
      <c r="AV337" s="153"/>
      <c r="AW337" s="153"/>
      <c r="AX337" s="153"/>
      <c r="AY337" s="153"/>
      <c r="AZ337" s="153"/>
      <c r="BA337" s="153"/>
      <c r="BB337" s="153"/>
      <c r="BC337" s="153"/>
      <c r="BD337" s="153"/>
      <c r="BE337" s="153"/>
      <c r="BF337" s="153"/>
      <c r="BG337" s="153"/>
      <c r="BS337" s="13">
        <v>2</v>
      </c>
      <c r="BT337" s="123">
        <v>44491</v>
      </c>
      <c r="BU337" s="116" t="s">
        <v>8</v>
      </c>
      <c r="BV337" s="115" t="s">
        <v>482</v>
      </c>
      <c r="BW337" s="116" t="s">
        <v>502</v>
      </c>
      <c r="BX337" s="115">
        <v>18400</v>
      </c>
      <c r="BY337" s="115">
        <v>41.7</v>
      </c>
      <c r="BZ337" s="115">
        <v>47.945</v>
      </c>
      <c r="CA337" s="119">
        <v>-3216.6708800000001</v>
      </c>
      <c r="CB337" s="115">
        <v>1.1497601918465228</v>
      </c>
      <c r="CC337" s="115">
        <v>500</v>
      </c>
      <c r="CD337" s="115">
        <v>50</v>
      </c>
      <c r="CE337" s="119">
        <v>20850</v>
      </c>
    </row>
    <row r="338" spans="1:83" hidden="1">
      <c r="A338" s="13">
        <f t="shared" si="753"/>
        <v>331</v>
      </c>
      <c r="B338" s="123">
        <v>44721</v>
      </c>
      <c r="C338" s="116" t="s">
        <v>8</v>
      </c>
      <c r="D338" s="116">
        <v>1</v>
      </c>
      <c r="E338" s="115" t="s">
        <v>481</v>
      </c>
      <c r="F338" s="116" t="s">
        <v>126</v>
      </c>
      <c r="G338" s="115">
        <v>190</v>
      </c>
      <c r="H338" s="117">
        <v>44742</v>
      </c>
      <c r="I338" s="115">
        <v>3750</v>
      </c>
      <c r="J338" s="115">
        <v>5.65</v>
      </c>
      <c r="K338" s="115">
        <v>0</v>
      </c>
      <c r="L338" s="119">
        <f t="shared" ca="1" si="1230"/>
        <v>0</v>
      </c>
      <c r="M338" s="119">
        <f t="shared" si="1231"/>
        <v>0</v>
      </c>
      <c r="N338" s="115">
        <f t="shared" si="1232"/>
        <v>0</v>
      </c>
      <c r="O338" s="156">
        <f t="shared" si="1233"/>
        <v>7.0625</v>
      </c>
      <c r="P338" s="160">
        <f t="shared" si="754"/>
        <v>21187.5</v>
      </c>
      <c r="Q338" s="160" t="e">
        <f t="shared" si="1234"/>
        <v>#N/A</v>
      </c>
      <c r="R338" s="153" t="e">
        <f t="shared" ca="1" si="1219"/>
        <v>#VALUE!</v>
      </c>
      <c r="S338" s="119">
        <f t="shared" si="1235"/>
        <v>0.56499999999999995</v>
      </c>
      <c r="T338" s="115" t="e">
        <f>VLOOKUP(TRIM($F338),Reference!B:C,2,0)</f>
        <v>#VALUE!</v>
      </c>
      <c r="U338" s="170">
        <f t="shared" ca="1" si="1236"/>
        <v>0</v>
      </c>
      <c r="V338" s="120" t="str">
        <f t="shared" si="1213"/>
        <v>IEX22JUN190CE</v>
      </c>
      <c r="W338" s="158" t="e">
        <f>VLOOKUP($V338,Reference!BA:BD,4,0)</f>
        <v>#N/A</v>
      </c>
      <c r="X338" s="160">
        <f t="shared" ca="1" si="1214"/>
        <v>0</v>
      </c>
      <c r="Y338" s="160">
        <f t="shared" ca="1" si="1215"/>
        <v>0</v>
      </c>
      <c r="Z338" s="160">
        <f t="shared" ca="1" si="1220"/>
        <v>0</v>
      </c>
      <c r="AA338" s="160">
        <f t="shared" ca="1" si="1216"/>
        <v>0</v>
      </c>
      <c r="AB338" s="160">
        <f t="shared" ca="1" si="1217"/>
        <v>0</v>
      </c>
      <c r="AC338" s="119">
        <f t="shared" ca="1" si="1218"/>
        <v>0</v>
      </c>
      <c r="AD338" s="115">
        <f t="shared" ca="1" si="1237"/>
        <v>-1.210958904109589</v>
      </c>
      <c r="AE338" s="115">
        <f t="shared" si="1238"/>
        <v>20</v>
      </c>
      <c r="AF338" s="115"/>
      <c r="AG338" s="115"/>
      <c r="AH338" s="115">
        <f t="shared" si="755"/>
        <v>10.59375</v>
      </c>
      <c r="AI338" s="115"/>
      <c r="AJ338" s="115">
        <f t="shared" si="756"/>
        <v>0</v>
      </c>
      <c r="AK338" s="115"/>
      <c r="AL338" s="142"/>
      <c r="AM338" s="153"/>
      <c r="AN338" s="153"/>
      <c r="AO338" s="153"/>
      <c r="AP338" s="153"/>
      <c r="AQ338" s="153"/>
      <c r="AR338" s="153"/>
      <c r="AS338" s="153"/>
      <c r="AT338" s="153"/>
      <c r="AU338" s="153"/>
      <c r="AV338" s="153"/>
      <c r="AW338" s="153"/>
      <c r="AX338" s="153"/>
      <c r="AY338" s="153"/>
      <c r="AZ338" s="153"/>
      <c r="BA338" s="153"/>
      <c r="BB338" s="153"/>
      <c r="BC338" s="153"/>
      <c r="BD338" s="153"/>
      <c r="BE338" s="153"/>
      <c r="BF338" s="153"/>
      <c r="BG338" s="153"/>
      <c r="BS338" s="13">
        <v>2</v>
      </c>
      <c r="BT338" s="123">
        <v>44491</v>
      </c>
      <c r="BU338" s="116" t="s">
        <v>8</v>
      </c>
      <c r="BV338" s="115" t="s">
        <v>482</v>
      </c>
      <c r="BW338" s="116" t="s">
        <v>502</v>
      </c>
      <c r="BX338" s="115">
        <v>18400</v>
      </c>
      <c r="BY338" s="115">
        <v>41.7</v>
      </c>
      <c r="BZ338" s="115">
        <v>47.945</v>
      </c>
      <c r="CA338" s="119">
        <v>-3216.6708800000001</v>
      </c>
      <c r="CB338" s="115">
        <v>1.1497601918465228</v>
      </c>
      <c r="CC338" s="115">
        <v>500</v>
      </c>
      <c r="CD338" s="115">
        <v>50</v>
      </c>
      <c r="CE338" s="119">
        <v>20850</v>
      </c>
    </row>
    <row r="339" spans="1:83" hidden="1">
      <c r="A339" s="13">
        <f t="shared" si="753"/>
        <v>332</v>
      </c>
      <c r="B339" s="123">
        <v>44722</v>
      </c>
      <c r="C339" s="116" t="s">
        <v>8</v>
      </c>
      <c r="D339" s="116">
        <v>1</v>
      </c>
      <c r="E339" s="115" t="s">
        <v>482</v>
      </c>
      <c r="F339" s="116" t="s">
        <v>502</v>
      </c>
      <c r="G339" s="115">
        <v>15800</v>
      </c>
      <c r="H339" s="117">
        <v>44742</v>
      </c>
      <c r="I339" s="115">
        <v>50</v>
      </c>
      <c r="J339" s="115">
        <v>135</v>
      </c>
      <c r="K339" s="115">
        <v>113.5</v>
      </c>
      <c r="L339" s="119">
        <f t="shared" ca="1" si="1230"/>
        <v>0</v>
      </c>
      <c r="M339" s="119">
        <f t="shared" si="1231"/>
        <v>1075</v>
      </c>
      <c r="N339" s="115">
        <f t="shared" si="1232"/>
        <v>0.84074074074074079</v>
      </c>
      <c r="O339" s="156">
        <f t="shared" si="1233"/>
        <v>168.75</v>
      </c>
      <c r="P339" s="160">
        <f t="shared" si="754"/>
        <v>6750</v>
      </c>
      <c r="Q339" s="160" t="e">
        <f t="shared" si="1234"/>
        <v>#N/A</v>
      </c>
      <c r="R339" s="153" t="e">
        <f t="shared" ca="1" si="1219"/>
        <v>#VALUE!</v>
      </c>
      <c r="S339" s="119">
        <f t="shared" si="1235"/>
        <v>13.499999999999996</v>
      </c>
      <c r="T339" s="115" t="str">
        <f>VLOOKUP(TRIM($F339),Reference!B:C,2,0)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39" s="170">
        <f t="shared" ca="1" si="1236"/>
        <v>0</v>
      </c>
      <c r="V339" s="120" t="str">
        <f t="shared" si="1213"/>
        <v>NIFTY22JUN15800PE</v>
      </c>
      <c r="W339" s="158" t="e">
        <f>VLOOKUP($V339,Reference!BA:BD,4,0)</f>
        <v>#N/A</v>
      </c>
      <c r="X339" s="160">
        <f t="shared" ca="1" si="1214"/>
        <v>0</v>
      </c>
      <c r="Y339" s="160">
        <f t="shared" ca="1" si="1215"/>
        <v>0</v>
      </c>
      <c r="Z339" s="160">
        <f t="shared" ca="1" si="1220"/>
        <v>0</v>
      </c>
      <c r="AA339" s="160">
        <f t="shared" ca="1" si="1216"/>
        <v>0</v>
      </c>
      <c r="AB339" s="160">
        <f t="shared" ca="1" si="1217"/>
        <v>0</v>
      </c>
      <c r="AC339" s="119">
        <f t="shared" ca="1" si="1218"/>
        <v>0</v>
      </c>
      <c r="AD339" s="115">
        <f t="shared" ca="1" si="1237"/>
        <v>-1.210958904109589</v>
      </c>
      <c r="AE339" s="115">
        <f t="shared" si="1238"/>
        <v>20</v>
      </c>
      <c r="AF339" s="115"/>
      <c r="AG339" s="115"/>
      <c r="AH339" s="115">
        <f t="shared" si="755"/>
        <v>3.375</v>
      </c>
      <c r="AI339" s="115"/>
      <c r="AJ339" s="115">
        <f t="shared" si="756"/>
        <v>0</v>
      </c>
      <c r="AK339" s="115"/>
      <c r="AL339" s="142"/>
      <c r="AM339" s="153"/>
      <c r="AN339" s="153"/>
      <c r="AO339" s="153"/>
      <c r="AP339" s="153"/>
      <c r="AQ339" s="153"/>
      <c r="AR339" s="153"/>
      <c r="AS339" s="153"/>
      <c r="AT339" s="153"/>
      <c r="AU339" s="153"/>
      <c r="AV339" s="153"/>
      <c r="AW339" s="153"/>
      <c r="AX339" s="153"/>
      <c r="AY339" s="153"/>
      <c r="AZ339" s="153"/>
      <c r="BA339" s="153"/>
      <c r="BB339" s="153"/>
      <c r="BC339" s="153"/>
      <c r="BD339" s="153"/>
      <c r="BE339" s="153"/>
      <c r="BF339" s="153"/>
      <c r="BG339" s="153"/>
      <c r="BS339" s="13">
        <v>2</v>
      </c>
      <c r="BT339" s="123">
        <v>44491</v>
      </c>
      <c r="BU339" s="116" t="s">
        <v>8</v>
      </c>
      <c r="BV339" s="115" t="s">
        <v>482</v>
      </c>
      <c r="BW339" s="116" t="s">
        <v>502</v>
      </c>
      <c r="BX339" s="115">
        <v>18400</v>
      </c>
      <c r="BY339" s="115">
        <v>41.7</v>
      </c>
      <c r="BZ339" s="115">
        <v>47.945</v>
      </c>
      <c r="CA339" s="119">
        <v>-3216.6708800000001</v>
      </c>
      <c r="CB339" s="115">
        <v>1.1497601918465228</v>
      </c>
      <c r="CC339" s="115">
        <v>500</v>
      </c>
      <c r="CD339" s="115">
        <v>50</v>
      </c>
      <c r="CE339" s="119">
        <v>20850</v>
      </c>
    </row>
    <row r="340" spans="1:83" hidden="1">
      <c r="A340" s="13">
        <f t="shared" si="753"/>
        <v>333</v>
      </c>
      <c r="B340" s="123">
        <v>44722</v>
      </c>
      <c r="C340" s="116" t="s">
        <v>8</v>
      </c>
      <c r="D340" s="116">
        <v>1</v>
      </c>
      <c r="E340" s="115" t="s">
        <v>482</v>
      </c>
      <c r="F340" s="116" t="s">
        <v>502</v>
      </c>
      <c r="G340" s="115">
        <v>15800</v>
      </c>
      <c r="H340" s="117">
        <v>44742</v>
      </c>
      <c r="I340" s="115">
        <v>50</v>
      </c>
      <c r="J340" s="115">
        <v>139</v>
      </c>
      <c r="K340" s="115">
        <v>100.1</v>
      </c>
      <c r="L340" s="119">
        <f t="shared" ref="L340" ca="1" si="1239">IF(AND(K340&lt;&gt;0,I340&lt;&gt;0),(IF(C340="B",1,-1))*(K340-J340)*I340-AK340*2,0)*$D340*IF(MONTH($B$2)=MONTH($H340),1,0)</f>
        <v>0</v>
      </c>
      <c r="M340" s="119">
        <f t="shared" ref="M340" si="1240">IF(AND(K340&lt;&gt;0,I340&lt;&gt;0),(IF(C340="B",1,-1))*(K340-J340)*I340-AK340*2,0)*$D340</f>
        <v>1945.0000000000002</v>
      </c>
      <c r="N340" s="115">
        <f t="shared" ref="N340" si="1241">K340/$J340</f>
        <v>0.72014388489208625</v>
      </c>
      <c r="O340" s="156">
        <f t="shared" ref="O340" si="1242">J340*(1+$O$6*IF(C340="B",-1,1))</f>
        <v>173.75</v>
      </c>
      <c r="P340" s="160">
        <f t="shared" si="754"/>
        <v>6950</v>
      </c>
      <c r="Q340" s="160" t="e">
        <f t="shared" ref="Q340" si="1243">(W340-J340)*I340*IF(C340="B",1,-1)*IF(K340=0,1,0)</f>
        <v>#N/A</v>
      </c>
      <c r="R340" s="153" t="e">
        <f t="shared" ca="1" si="1219"/>
        <v>#VALUE!</v>
      </c>
      <c r="S340" s="119">
        <f t="shared" ref="S340" si="1244">(1-$S$6)*J340</f>
        <v>13.899999999999997</v>
      </c>
      <c r="T340" s="115" t="str">
        <f>VLOOKUP(TRIM($F340),Reference!B:C,2,0)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40" s="170">
        <f t="shared" ref="U340" ca="1" si="1245">AC340</f>
        <v>0</v>
      </c>
      <c r="V340" s="120" t="str">
        <f t="shared" si="1213"/>
        <v>NIFTY22JUN15800PE</v>
      </c>
      <c r="W340" s="158" t="e">
        <f>VLOOKUP($V340,Reference!BA:BD,4,0)</f>
        <v>#N/A</v>
      </c>
      <c r="X340" s="160">
        <f t="shared" ca="1" si="1214"/>
        <v>0</v>
      </c>
      <c r="Y340" s="160">
        <f t="shared" ca="1" si="1215"/>
        <v>0</v>
      </c>
      <c r="Z340" s="160">
        <f t="shared" ca="1" si="1220"/>
        <v>0</v>
      </c>
      <c r="AA340" s="160">
        <f t="shared" ca="1" si="1216"/>
        <v>0</v>
      </c>
      <c r="AB340" s="160">
        <f t="shared" ca="1" si="1217"/>
        <v>0</v>
      </c>
      <c r="AC340" s="119">
        <f t="shared" ca="1" si="1218"/>
        <v>0</v>
      </c>
      <c r="AD340" s="115">
        <f t="shared" ref="AD340" ca="1" si="1246">(H340-TODAY())/365</f>
        <v>-1.210958904109589</v>
      </c>
      <c r="AE340" s="115">
        <f t="shared" ref="AE340" si="1247">IF(I340&lt;&gt;0,20,0)</f>
        <v>20</v>
      </c>
      <c r="AF340" s="115"/>
      <c r="AG340" s="115"/>
      <c r="AH340" s="115">
        <f t="shared" si="755"/>
        <v>3.4750000000000001</v>
      </c>
      <c r="AI340" s="115"/>
      <c r="AJ340" s="115">
        <f t="shared" si="756"/>
        <v>0</v>
      </c>
      <c r="AK340" s="115"/>
      <c r="AL340" s="142"/>
      <c r="AM340" s="153"/>
      <c r="AN340" s="153"/>
      <c r="AO340" s="153"/>
      <c r="AP340" s="153"/>
      <c r="AQ340" s="153"/>
      <c r="AR340" s="153"/>
      <c r="AS340" s="153"/>
      <c r="AT340" s="153"/>
      <c r="AU340" s="153"/>
      <c r="AV340" s="153"/>
      <c r="AW340" s="153"/>
      <c r="AX340" s="153"/>
      <c r="AY340" s="153"/>
      <c r="AZ340" s="153"/>
      <c r="BA340" s="153"/>
      <c r="BB340" s="153"/>
      <c r="BC340" s="153"/>
      <c r="BD340" s="153"/>
      <c r="BE340" s="153"/>
      <c r="BF340" s="153"/>
      <c r="BG340" s="153"/>
      <c r="BS340" s="13">
        <v>2</v>
      </c>
      <c r="BT340" s="123">
        <v>44491</v>
      </c>
      <c r="BU340" s="116" t="s">
        <v>8</v>
      </c>
      <c r="BV340" s="115" t="s">
        <v>482</v>
      </c>
      <c r="BW340" s="116" t="s">
        <v>502</v>
      </c>
      <c r="BX340" s="115">
        <v>18400</v>
      </c>
      <c r="BY340" s="115">
        <v>41.7</v>
      </c>
      <c r="BZ340" s="115">
        <v>47.945</v>
      </c>
      <c r="CA340" s="119">
        <v>-3216.6708800000001</v>
      </c>
      <c r="CB340" s="115">
        <v>1.1497601918465228</v>
      </c>
      <c r="CC340" s="115">
        <v>500</v>
      </c>
      <c r="CD340" s="115">
        <v>50</v>
      </c>
      <c r="CE340" s="119">
        <v>20850</v>
      </c>
    </row>
    <row r="341" spans="1:83" hidden="1">
      <c r="A341" s="13">
        <f t="shared" si="753"/>
        <v>334</v>
      </c>
      <c r="B341" s="123">
        <v>44722</v>
      </c>
      <c r="C341" s="116" t="s">
        <v>8</v>
      </c>
      <c r="D341" s="116">
        <v>1</v>
      </c>
      <c r="E341" s="115" t="s">
        <v>482</v>
      </c>
      <c r="F341" s="116" t="s">
        <v>502</v>
      </c>
      <c r="G341" s="115">
        <v>15750</v>
      </c>
      <c r="H341" s="117">
        <v>44742</v>
      </c>
      <c r="I341" s="115">
        <v>50</v>
      </c>
      <c r="J341" s="115">
        <v>125</v>
      </c>
      <c r="K341" s="115">
        <v>84.2</v>
      </c>
      <c r="L341" s="119">
        <f t="shared" ref="L341:L342" ca="1" si="1248">IF(AND(K341&lt;&gt;0,I341&lt;&gt;0),(IF(C341="B",1,-1))*(K341-J341)*I341-AK341*2,0)*$D341*IF(MONTH($B$2)=MONTH($H341),1,0)</f>
        <v>0</v>
      </c>
      <c r="M341" s="119">
        <f t="shared" ref="M341:M342" si="1249">IF(AND(K341&lt;&gt;0,I341&lt;&gt;0),(IF(C341="B",1,-1))*(K341-J341)*I341-AK341*2,0)*$D341</f>
        <v>2039.9999999999998</v>
      </c>
      <c r="N341" s="115">
        <f t="shared" ref="N341:N342" si="1250">K341/$J341</f>
        <v>0.67359999999999998</v>
      </c>
      <c r="O341" s="156">
        <f t="shared" ref="O341:O342" si="1251">J341*(1+$O$6*IF(C341="B",-1,1))</f>
        <v>156.25</v>
      </c>
      <c r="P341" s="160">
        <f t="shared" si="754"/>
        <v>6250</v>
      </c>
      <c r="Q341" s="160" t="e">
        <f t="shared" ref="Q341:Q342" si="1252">(W341-J341)*I341*IF(C341="B",1,-1)*IF(K341=0,1,0)</f>
        <v>#N/A</v>
      </c>
      <c r="R341" s="153" t="e">
        <f t="shared" ca="1" si="1219"/>
        <v>#VALUE!</v>
      </c>
      <c r="S341" s="119">
        <f t="shared" ref="S341:S342" si="1253">(1-$S$6)*J341</f>
        <v>12.499999999999996</v>
      </c>
      <c r="T341" s="115" t="str">
        <f>VLOOKUP(TRIM($F341),Reference!B:C,2,0)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41" s="170">
        <f t="shared" ref="U341:U342" ca="1" si="1254">AC341</f>
        <v>0</v>
      </c>
      <c r="V341" s="120" t="str">
        <f t="shared" si="1213"/>
        <v>NIFTY22JUN15750PE</v>
      </c>
      <c r="W341" s="158" t="e">
        <f>VLOOKUP($V341,Reference!BA:BD,4,0)</f>
        <v>#N/A</v>
      </c>
      <c r="X341" s="160">
        <f t="shared" ca="1" si="1214"/>
        <v>0</v>
      </c>
      <c r="Y341" s="160">
        <f t="shared" ca="1" si="1215"/>
        <v>0</v>
      </c>
      <c r="Z341" s="160">
        <f t="shared" ca="1" si="1220"/>
        <v>0</v>
      </c>
      <c r="AA341" s="160">
        <f t="shared" ca="1" si="1216"/>
        <v>0</v>
      </c>
      <c r="AB341" s="160">
        <f t="shared" ca="1" si="1217"/>
        <v>0</v>
      </c>
      <c r="AC341" s="119">
        <f t="shared" ca="1" si="1218"/>
        <v>0</v>
      </c>
      <c r="AD341" s="115">
        <f t="shared" ref="AD341:AD342" ca="1" si="1255">(H341-TODAY())/365</f>
        <v>-1.210958904109589</v>
      </c>
      <c r="AE341" s="115">
        <f t="shared" ref="AE341:AE342" si="1256">IF(I341&lt;&gt;0,20,0)</f>
        <v>20</v>
      </c>
      <c r="AF341" s="115"/>
      <c r="AG341" s="115"/>
      <c r="AH341" s="115">
        <f t="shared" si="755"/>
        <v>3.125</v>
      </c>
      <c r="AI341" s="115"/>
      <c r="AJ341" s="115">
        <f t="shared" si="756"/>
        <v>0</v>
      </c>
      <c r="AK341" s="115"/>
      <c r="AL341" s="142"/>
      <c r="AM341" s="153"/>
      <c r="AN341" s="153"/>
      <c r="AO341" s="153"/>
      <c r="AP341" s="153"/>
      <c r="AQ341" s="153"/>
      <c r="AR341" s="153"/>
      <c r="AS341" s="153"/>
      <c r="AT341" s="153"/>
      <c r="AU341" s="153"/>
      <c r="AV341" s="153"/>
      <c r="AW341" s="153"/>
      <c r="AX341" s="153"/>
      <c r="AY341" s="153"/>
      <c r="AZ341" s="153"/>
      <c r="BA341" s="153"/>
      <c r="BB341" s="153"/>
      <c r="BC341" s="153"/>
      <c r="BD341" s="153"/>
      <c r="BE341" s="153"/>
      <c r="BF341" s="153"/>
      <c r="BG341" s="153"/>
      <c r="BS341" s="13">
        <v>2</v>
      </c>
      <c r="BT341" s="123">
        <v>44491</v>
      </c>
      <c r="BU341" s="116" t="s">
        <v>8</v>
      </c>
      <c r="BV341" s="115" t="s">
        <v>482</v>
      </c>
      <c r="BW341" s="116" t="s">
        <v>502</v>
      </c>
      <c r="BX341" s="115">
        <v>18400</v>
      </c>
      <c r="BY341" s="115">
        <v>41.7</v>
      </c>
      <c r="BZ341" s="115">
        <v>47.945</v>
      </c>
      <c r="CA341" s="119">
        <v>-3216.6708800000001</v>
      </c>
      <c r="CB341" s="115">
        <v>1.1497601918465228</v>
      </c>
      <c r="CC341" s="115">
        <v>500</v>
      </c>
      <c r="CD341" s="115">
        <v>50</v>
      </c>
      <c r="CE341" s="119">
        <v>20850</v>
      </c>
    </row>
    <row r="342" spans="1:83" hidden="1">
      <c r="A342" s="13">
        <f t="shared" si="753"/>
        <v>335</v>
      </c>
      <c r="B342" s="123">
        <v>44725</v>
      </c>
      <c r="C342" s="116" t="s">
        <v>6</v>
      </c>
      <c r="D342" s="116">
        <v>1</v>
      </c>
      <c r="E342" s="115" t="s">
        <v>632</v>
      </c>
      <c r="F342" s="116" t="s">
        <v>126</v>
      </c>
      <c r="G342" s="115" t="s">
        <v>568</v>
      </c>
      <c r="H342" s="117">
        <v>44770</v>
      </c>
      <c r="I342" s="115">
        <v>3750</v>
      </c>
      <c r="J342" s="115">
        <v>178</v>
      </c>
      <c r="K342" s="115">
        <v>0</v>
      </c>
      <c r="L342" s="119">
        <f t="shared" ca="1" si="1248"/>
        <v>0</v>
      </c>
      <c r="M342" s="119">
        <f t="shared" si="1249"/>
        <v>0</v>
      </c>
      <c r="N342" s="115">
        <f t="shared" si="1250"/>
        <v>0</v>
      </c>
      <c r="O342" s="156">
        <f t="shared" si="1251"/>
        <v>133.5</v>
      </c>
      <c r="P342" s="160">
        <f t="shared" si="754"/>
        <v>667500</v>
      </c>
      <c r="Q342" s="160">
        <f t="shared" si="1252"/>
        <v>-56812.500000000022</v>
      </c>
      <c r="R342" s="153" t="e">
        <f t="shared" ca="1" si="1219"/>
        <v>#VALUE!</v>
      </c>
      <c r="S342" s="119">
        <f t="shared" si="1253"/>
        <v>17.799999999999997</v>
      </c>
      <c r="T342" s="115" t="e">
        <f>VLOOKUP(TRIM($F342),Reference!B:C,2,0)</f>
        <v>#VALUE!</v>
      </c>
      <c r="U342" s="170">
        <f t="shared" ca="1" si="1254"/>
        <v>0</v>
      </c>
      <c r="V342" s="120" t="str">
        <f t="shared" si="1213"/>
        <v>IEX22JULFUT</v>
      </c>
      <c r="W342" s="158">
        <f>VLOOKUP($V342,Reference!BA:BD,4,0)</f>
        <v>162.85</v>
      </c>
      <c r="X342" s="160">
        <f t="shared" ca="1" si="1214"/>
        <v>0</v>
      </c>
      <c r="Y342" s="160">
        <f t="shared" ca="1" si="1215"/>
        <v>0</v>
      </c>
      <c r="Z342" s="160">
        <f t="shared" ca="1" si="1220"/>
        <v>0</v>
      </c>
      <c r="AA342" s="160">
        <f t="shared" ca="1" si="1216"/>
        <v>0</v>
      </c>
      <c r="AB342" s="160">
        <f t="shared" ca="1" si="1217"/>
        <v>0</v>
      </c>
      <c r="AC342" s="119">
        <f t="shared" ca="1" si="1218"/>
        <v>0</v>
      </c>
      <c r="AD342" s="115">
        <f t="shared" ca="1" si="1255"/>
        <v>-1.1342465753424658</v>
      </c>
      <c r="AE342" s="115">
        <f t="shared" si="1256"/>
        <v>20</v>
      </c>
      <c r="AF342" s="115"/>
      <c r="AG342" s="115"/>
      <c r="AH342" s="115">
        <f t="shared" si="755"/>
        <v>0</v>
      </c>
      <c r="AI342" s="115"/>
      <c r="AJ342" s="115">
        <f t="shared" si="756"/>
        <v>20.025000000000002</v>
      </c>
      <c r="AK342" s="115"/>
      <c r="AL342" s="142"/>
      <c r="AM342" s="153"/>
      <c r="AN342" s="153"/>
      <c r="AO342" s="153"/>
      <c r="AP342" s="153"/>
      <c r="AQ342" s="153"/>
      <c r="AR342" s="153"/>
      <c r="AS342" s="153"/>
      <c r="AT342" s="153"/>
      <c r="AU342" s="153"/>
      <c r="AV342" s="153"/>
      <c r="AW342" s="153"/>
      <c r="AX342" s="153"/>
      <c r="AY342" s="153"/>
      <c r="AZ342" s="153"/>
      <c r="BA342" s="153"/>
      <c r="BB342" s="153"/>
      <c r="BC342" s="153"/>
      <c r="BD342" s="153"/>
      <c r="BE342" s="153"/>
      <c r="BF342" s="153"/>
      <c r="BG342" s="153"/>
      <c r="BS342" s="13">
        <v>2</v>
      </c>
      <c r="BT342" s="123">
        <v>44491</v>
      </c>
      <c r="BU342" s="116" t="s">
        <v>8</v>
      </c>
      <c r="BV342" s="115" t="s">
        <v>482</v>
      </c>
      <c r="BW342" s="116" t="s">
        <v>502</v>
      </c>
      <c r="BX342" s="115">
        <v>18400</v>
      </c>
      <c r="BY342" s="115">
        <v>41.7</v>
      </c>
      <c r="BZ342" s="115">
        <v>47.945</v>
      </c>
      <c r="CA342" s="119">
        <v>-3216.6708800000001</v>
      </c>
      <c r="CB342" s="115">
        <v>1.1497601918465228</v>
      </c>
      <c r="CC342" s="115">
        <v>500</v>
      </c>
      <c r="CD342" s="115">
        <v>50</v>
      </c>
      <c r="CE342" s="119">
        <v>20850</v>
      </c>
    </row>
    <row r="343" spans="1:83" hidden="1">
      <c r="A343" s="13">
        <f t="shared" si="753"/>
        <v>336</v>
      </c>
      <c r="B343" s="123">
        <v>44725</v>
      </c>
      <c r="C343" s="116" t="s">
        <v>6</v>
      </c>
      <c r="D343" s="116">
        <v>1</v>
      </c>
      <c r="E343" s="115" t="s">
        <v>632</v>
      </c>
      <c r="F343" s="116" t="s">
        <v>506</v>
      </c>
      <c r="G343" s="115" t="s">
        <v>568</v>
      </c>
      <c r="H343" s="117">
        <v>44770</v>
      </c>
      <c r="I343" s="115">
        <v>25</v>
      </c>
      <c r="J343" s="115">
        <v>33459.4</v>
      </c>
      <c r="K343" s="115">
        <v>32586</v>
      </c>
      <c r="L343" s="119">
        <f t="shared" ref="L343" ca="1" si="1257">IF(AND(K343&lt;&gt;0,I343&lt;&gt;0),(IF(C343="B",1,-1))*(K343-J343)*I343-AK343*2,0)*$D343*IF(MONTH($B$2)=MONTH($H343),1,0)</f>
        <v>0</v>
      </c>
      <c r="M343" s="119">
        <f t="shared" ref="M343" si="1258">IF(AND(K343&lt;&gt;0,I343&lt;&gt;0),(IF(C343="B",1,-1))*(K343-J343)*I343-AK343*2,0)*$D343</f>
        <v>-21835.000000000036</v>
      </c>
      <c r="N343" s="115">
        <f t="shared" ref="N343" si="1259">K343/$J343</f>
        <v>0.97389672259514515</v>
      </c>
      <c r="O343" s="156">
        <f t="shared" ref="O343" si="1260">J343*(1+$O$6*IF(C343="B",-1,1))</f>
        <v>25094.550000000003</v>
      </c>
      <c r="P343" s="160">
        <f t="shared" si="754"/>
        <v>836485</v>
      </c>
      <c r="Q343" s="160" t="e">
        <f t="shared" ref="Q343" si="1261">(W343-J343)*I343*IF(C343="B",1,-1)*IF(K343=0,1,0)</f>
        <v>#N/A</v>
      </c>
      <c r="R343" s="153" t="e">
        <f t="shared" ca="1" si="1219"/>
        <v>#VALUE!</v>
      </c>
      <c r="S343" s="119">
        <f t="shared" ref="S343" si="1262">(1-$S$6)*J343</f>
        <v>3345.9399999999996</v>
      </c>
      <c r="T343" s="115" t="str">
        <f>VLOOKUP(TRIM($F343),Reference!B:C,2,0)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43" s="170">
        <f t="shared" ref="U343" ca="1" si="1263">AC343</f>
        <v>0</v>
      </c>
      <c r="V343" s="120" t="str">
        <f t="shared" si="1213"/>
        <v>BANKNIFTY22JULFUT</v>
      </c>
      <c r="W343" s="158" t="e">
        <f>VLOOKUP($V343,Reference!BA:BD,4,0)</f>
        <v>#N/A</v>
      </c>
      <c r="X343" s="160">
        <f t="shared" ca="1" si="1214"/>
        <v>0</v>
      </c>
      <c r="Y343" s="160">
        <f t="shared" ca="1" si="1215"/>
        <v>0</v>
      </c>
      <c r="Z343" s="160">
        <f t="shared" ca="1" si="1220"/>
        <v>0</v>
      </c>
      <c r="AA343" s="160">
        <f t="shared" ca="1" si="1216"/>
        <v>0</v>
      </c>
      <c r="AB343" s="160">
        <f t="shared" ca="1" si="1217"/>
        <v>0</v>
      </c>
      <c r="AC343" s="119">
        <f t="shared" ca="1" si="1218"/>
        <v>0</v>
      </c>
      <c r="AD343" s="115">
        <f t="shared" ref="AD343" ca="1" si="1264">(H343-TODAY())/365</f>
        <v>-1.1342465753424658</v>
      </c>
      <c r="AE343" s="115">
        <f t="shared" ref="AE343" si="1265">IF(I343&lt;&gt;0,20,0)</f>
        <v>20</v>
      </c>
      <c r="AF343" s="115"/>
      <c r="AG343" s="115"/>
      <c r="AH343" s="115">
        <f t="shared" si="755"/>
        <v>0</v>
      </c>
      <c r="AI343" s="115"/>
      <c r="AJ343" s="115">
        <f t="shared" si="756"/>
        <v>25.094550000000002</v>
      </c>
      <c r="AK343" s="115"/>
      <c r="AL343" s="142"/>
      <c r="AM343" s="153"/>
      <c r="AN343" s="153"/>
      <c r="AO343" s="153"/>
      <c r="AP343" s="153"/>
      <c r="AQ343" s="153"/>
      <c r="AR343" s="153"/>
      <c r="AS343" s="153"/>
      <c r="AT343" s="153"/>
      <c r="AU343" s="153"/>
      <c r="AV343" s="153"/>
      <c r="AW343" s="153"/>
      <c r="AX343" s="153"/>
      <c r="AY343" s="153"/>
      <c r="AZ343" s="153"/>
      <c r="BA343" s="153"/>
      <c r="BB343" s="153"/>
      <c r="BC343" s="153"/>
      <c r="BD343" s="153"/>
      <c r="BE343" s="153"/>
      <c r="BF343" s="153"/>
      <c r="BG343" s="153"/>
      <c r="BS343" s="13">
        <v>2</v>
      </c>
      <c r="BT343" s="123">
        <v>44491</v>
      </c>
      <c r="BU343" s="116" t="s">
        <v>8</v>
      </c>
      <c r="BV343" s="115" t="s">
        <v>482</v>
      </c>
      <c r="BW343" s="116" t="s">
        <v>502</v>
      </c>
      <c r="BX343" s="115">
        <v>18400</v>
      </c>
      <c r="BY343" s="115">
        <v>41.7</v>
      </c>
      <c r="BZ343" s="115">
        <v>47.945</v>
      </c>
      <c r="CA343" s="119">
        <v>-3216.6708800000001</v>
      </c>
      <c r="CB343" s="115">
        <v>1.1497601918465228</v>
      </c>
      <c r="CC343" s="115">
        <v>500</v>
      </c>
      <c r="CD343" s="115">
        <v>50</v>
      </c>
      <c r="CE343" s="119">
        <v>20850</v>
      </c>
    </row>
    <row r="344" spans="1:83" hidden="1">
      <c r="A344" s="13">
        <f t="shared" si="753"/>
        <v>337</v>
      </c>
      <c r="B344" s="123">
        <v>44725</v>
      </c>
      <c r="C344" s="116" t="s">
        <v>6</v>
      </c>
      <c r="D344" s="116">
        <v>1</v>
      </c>
      <c r="E344" s="115" t="s">
        <v>632</v>
      </c>
      <c r="F344" s="116" t="s">
        <v>502</v>
      </c>
      <c r="G344" s="115" t="s">
        <v>568</v>
      </c>
      <c r="H344" s="117">
        <v>44770</v>
      </c>
      <c r="I344" s="115">
        <v>50</v>
      </c>
      <c r="J344" s="115">
        <v>15814.65</v>
      </c>
      <c r="K344" s="115">
        <v>15275</v>
      </c>
      <c r="L344" s="119">
        <f t="shared" ref="L344:L352" ca="1" si="1266">IF(AND(K344&lt;&gt;0,I344&lt;&gt;0),(IF(C344="B",1,-1))*(K344-J344)*I344-AK344*2,0)*$D344*IF(MONTH($B$2)=MONTH($H344),1,0)</f>
        <v>0</v>
      </c>
      <c r="M344" s="119">
        <f t="shared" ref="M344:M352" si="1267">IF(AND(K344&lt;&gt;0,I344&lt;&gt;0),(IF(C344="B",1,-1))*(K344-J344)*I344-AK344*2,0)*$D344</f>
        <v>-26982.499999999982</v>
      </c>
      <c r="N344" s="115">
        <f t="shared" ref="N344" si="1268">K344/$J344</f>
        <v>0.96587657646549241</v>
      </c>
      <c r="O344" s="156">
        <f t="shared" ref="O344" si="1269">J344*(1+$O$6*IF(C344="B",-1,1))</f>
        <v>11860.987499999999</v>
      </c>
      <c r="P344" s="160">
        <f t="shared" si="754"/>
        <v>790732.5</v>
      </c>
      <c r="Q344" s="160">
        <f t="shared" ref="Q344" si="1270">(W344-J344)*I344*IF(C344="B",1,-1)*IF(K344=0,1,0)</f>
        <v>0</v>
      </c>
      <c r="R344" s="153" t="e">
        <f t="shared" ca="1" si="1219"/>
        <v>#VALUE!</v>
      </c>
      <c r="S344" s="119">
        <f t="shared" ref="S344" si="1271">(1-$S$6)*J344</f>
        <v>1581.4649999999997</v>
      </c>
      <c r="T344" s="115" t="str">
        <f>VLOOKUP(TRIM($F344),Reference!B:C,2,0)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44" s="170">
        <f t="shared" ref="U344" ca="1" si="1272">AC344</f>
        <v>0</v>
      </c>
      <c r="V344" s="120" t="str">
        <f t="shared" si="1213"/>
        <v>NIFTY22JULFUT</v>
      </c>
      <c r="W344" s="158">
        <f>VLOOKUP($V344,Reference!BA:BD,4,0)</f>
        <v>15941</v>
      </c>
      <c r="X344" s="160">
        <f t="shared" ca="1" si="1214"/>
        <v>0</v>
      </c>
      <c r="Y344" s="160">
        <f t="shared" ca="1" si="1215"/>
        <v>0</v>
      </c>
      <c r="Z344" s="160">
        <f t="shared" ca="1" si="1220"/>
        <v>0</v>
      </c>
      <c r="AA344" s="160">
        <f t="shared" ca="1" si="1216"/>
        <v>0</v>
      </c>
      <c r="AB344" s="160">
        <f t="shared" ca="1" si="1217"/>
        <v>0</v>
      </c>
      <c r="AC344" s="119">
        <f t="shared" ca="1" si="1218"/>
        <v>0</v>
      </c>
      <c r="AD344" s="115">
        <f t="shared" ref="AD344" ca="1" si="1273">(H344-TODAY())/365</f>
        <v>-1.1342465753424658</v>
      </c>
      <c r="AE344" s="115">
        <f t="shared" ref="AE344" si="1274">IF(I344&lt;&gt;0,20,0)</f>
        <v>20</v>
      </c>
      <c r="AF344" s="115"/>
      <c r="AG344" s="115"/>
      <c r="AH344" s="115">
        <f t="shared" si="755"/>
        <v>0</v>
      </c>
      <c r="AI344" s="115"/>
      <c r="AJ344" s="115">
        <f t="shared" si="756"/>
        <v>23.721975</v>
      </c>
      <c r="AK344" s="115"/>
      <c r="AL344" s="142"/>
      <c r="AM344" s="153"/>
      <c r="AN344" s="153"/>
      <c r="AO344" s="153"/>
      <c r="AP344" s="153"/>
      <c r="AQ344" s="153"/>
      <c r="AR344" s="153"/>
      <c r="AS344" s="153"/>
      <c r="AT344" s="153"/>
      <c r="AU344" s="153"/>
      <c r="AV344" s="153"/>
      <c r="AW344" s="153"/>
      <c r="AX344" s="153"/>
      <c r="AY344" s="153"/>
      <c r="AZ344" s="153"/>
      <c r="BA344" s="153"/>
      <c r="BB344" s="153"/>
      <c r="BC344" s="153"/>
      <c r="BD344" s="153"/>
      <c r="BE344" s="153"/>
      <c r="BF344" s="153"/>
      <c r="BG344" s="153"/>
      <c r="BS344" s="13">
        <v>2</v>
      </c>
      <c r="BT344" s="123">
        <v>44491</v>
      </c>
      <c r="BU344" s="116" t="s">
        <v>8</v>
      </c>
      <c r="BV344" s="115" t="s">
        <v>482</v>
      </c>
      <c r="BW344" s="116" t="s">
        <v>502</v>
      </c>
      <c r="BX344" s="115">
        <v>18400</v>
      </c>
      <c r="BY344" s="115">
        <v>41.7</v>
      </c>
      <c r="BZ344" s="115">
        <v>47.945</v>
      </c>
      <c r="CA344" s="119">
        <v>-3216.6708800000001</v>
      </c>
      <c r="CB344" s="115">
        <v>1.1497601918465228</v>
      </c>
      <c r="CC344" s="115">
        <v>500</v>
      </c>
      <c r="CD344" s="115">
        <v>50</v>
      </c>
      <c r="CE344" s="119">
        <v>20850</v>
      </c>
    </row>
    <row r="345" spans="1:83" hidden="1">
      <c r="A345" s="13">
        <f t="shared" si="753"/>
        <v>338</v>
      </c>
      <c r="B345" s="123">
        <v>44739</v>
      </c>
      <c r="C345" s="116" t="s">
        <v>8</v>
      </c>
      <c r="D345" s="116">
        <v>1</v>
      </c>
      <c r="E345" s="115" t="s">
        <v>481</v>
      </c>
      <c r="F345" s="116" t="s">
        <v>390</v>
      </c>
      <c r="G345" s="115">
        <v>2500</v>
      </c>
      <c r="H345" s="117">
        <v>44770</v>
      </c>
      <c r="I345" s="115">
        <v>375</v>
      </c>
      <c r="J345" s="115">
        <v>35</v>
      </c>
      <c r="K345" s="115">
        <v>0</v>
      </c>
      <c r="L345" s="119">
        <f t="shared" ca="1" si="1266"/>
        <v>0</v>
      </c>
      <c r="M345" s="119">
        <f t="shared" si="1267"/>
        <v>0</v>
      </c>
      <c r="N345" s="115">
        <f t="shared" ref="N345" si="1275">K345/$J345</f>
        <v>0</v>
      </c>
      <c r="O345" s="156">
        <f t="shared" ref="O345" si="1276">J345*(1+$O$6*IF(C345="B",-1,1))</f>
        <v>43.75</v>
      </c>
      <c r="P345" s="160">
        <f t="shared" si="754"/>
        <v>13125</v>
      </c>
      <c r="Q345" s="160">
        <f t="shared" ref="Q345" si="1277">(W345-J345)*I345*IF(C345="B",1,-1)*IF(K345=0,1,0)</f>
        <v>11625</v>
      </c>
      <c r="R345" s="153" t="e">
        <f t="shared" ca="1" si="1219"/>
        <v>#VALUE!</v>
      </c>
      <c r="S345" s="119">
        <f t="shared" ref="S345" si="1278">(1-$S$6)*J345</f>
        <v>3.4999999999999991</v>
      </c>
      <c r="T345" s="115" t="e">
        <f>VLOOKUP(TRIM($F345),Reference!B:C,2,0)</f>
        <v>#VALUE!</v>
      </c>
      <c r="U345" s="170">
        <f t="shared" ref="U345" ca="1" si="1279">AC345</f>
        <v>0</v>
      </c>
      <c r="V345" s="120" t="str">
        <f t="shared" si="1213"/>
        <v>SRF22JUL2500CE</v>
      </c>
      <c r="W345" s="158">
        <f>VLOOKUP($V345,Reference!BA:BD,4,0)</f>
        <v>4</v>
      </c>
      <c r="X345" s="160">
        <f t="shared" ca="1" si="1214"/>
        <v>0</v>
      </c>
      <c r="Y345" s="160">
        <f t="shared" ca="1" si="1215"/>
        <v>0</v>
      </c>
      <c r="Z345" s="160">
        <f t="shared" ca="1" si="1220"/>
        <v>0</v>
      </c>
      <c r="AA345" s="160">
        <f t="shared" ca="1" si="1216"/>
        <v>0</v>
      </c>
      <c r="AB345" s="160">
        <f t="shared" ca="1" si="1217"/>
        <v>0</v>
      </c>
      <c r="AC345" s="119">
        <f t="shared" ca="1" si="1218"/>
        <v>0</v>
      </c>
      <c r="AD345" s="115">
        <f t="shared" ref="AD345" ca="1" si="1280">(H345-TODAY())/365</f>
        <v>-1.1342465753424658</v>
      </c>
      <c r="AE345" s="115">
        <f t="shared" ref="AE345" si="1281">IF(I345&lt;&gt;0,20,0)</f>
        <v>20</v>
      </c>
      <c r="AF345" s="115"/>
      <c r="AG345" s="115"/>
      <c r="AH345" s="115">
        <f t="shared" si="755"/>
        <v>6.5625</v>
      </c>
      <c r="AI345" s="115"/>
      <c r="AJ345" s="115">
        <f t="shared" si="756"/>
        <v>0</v>
      </c>
      <c r="AK345" s="115"/>
      <c r="AL345" s="142"/>
      <c r="AM345" s="153"/>
      <c r="AN345" s="153"/>
      <c r="AO345" s="153"/>
      <c r="AP345" s="153"/>
      <c r="AQ345" s="153"/>
      <c r="AR345" s="153"/>
      <c r="AS345" s="153"/>
      <c r="AT345" s="153"/>
      <c r="AU345" s="153"/>
      <c r="AV345" s="153"/>
      <c r="AW345" s="153"/>
      <c r="AX345" s="153"/>
      <c r="AY345" s="153"/>
      <c r="AZ345" s="153"/>
      <c r="BA345" s="153"/>
      <c r="BB345" s="153"/>
      <c r="BC345" s="153"/>
      <c r="BD345" s="153"/>
      <c r="BE345" s="153"/>
      <c r="BF345" s="153"/>
      <c r="BG345" s="153"/>
      <c r="BS345" s="13">
        <v>2</v>
      </c>
      <c r="BT345" s="123">
        <v>44491</v>
      </c>
      <c r="BU345" s="116" t="s">
        <v>8</v>
      </c>
      <c r="BV345" s="115" t="s">
        <v>482</v>
      </c>
      <c r="BW345" s="116" t="s">
        <v>502</v>
      </c>
      <c r="BX345" s="115">
        <v>18400</v>
      </c>
      <c r="BY345" s="115">
        <v>41.7</v>
      </c>
      <c r="BZ345" s="115">
        <v>47.945</v>
      </c>
      <c r="CA345" s="119">
        <v>-3216.6708800000001</v>
      </c>
      <c r="CB345" s="115">
        <v>1.1497601918465228</v>
      </c>
      <c r="CC345" s="115">
        <v>500</v>
      </c>
      <c r="CD345" s="115">
        <v>50</v>
      </c>
      <c r="CE345" s="119">
        <v>20850</v>
      </c>
    </row>
    <row r="346" spans="1:83" hidden="1">
      <c r="A346" s="13">
        <f t="shared" si="753"/>
        <v>339</v>
      </c>
      <c r="B346" s="123">
        <v>44739</v>
      </c>
      <c r="C346" s="116" t="s">
        <v>8</v>
      </c>
      <c r="D346" s="116">
        <v>1</v>
      </c>
      <c r="E346" s="115" t="s">
        <v>481</v>
      </c>
      <c r="F346" s="116" t="s">
        <v>284</v>
      </c>
      <c r="G346" s="115">
        <v>460</v>
      </c>
      <c r="H346" s="117">
        <v>44770</v>
      </c>
      <c r="I346" s="115">
        <v>1425</v>
      </c>
      <c r="J346" s="115">
        <v>6.3</v>
      </c>
      <c r="K346" s="115">
        <v>0</v>
      </c>
      <c r="L346" s="119">
        <f t="shared" ca="1" si="1266"/>
        <v>0</v>
      </c>
      <c r="M346" s="119">
        <f t="shared" si="1267"/>
        <v>0</v>
      </c>
      <c r="N346" s="115">
        <f t="shared" ref="N346" si="1282">K346/$J346</f>
        <v>0</v>
      </c>
      <c r="O346" s="156">
        <f t="shared" ref="O346" si="1283">J346*(1+$O$6*IF(C346="B",-1,1))</f>
        <v>7.875</v>
      </c>
      <c r="P346" s="160">
        <f t="shared" si="754"/>
        <v>8977.5</v>
      </c>
      <c r="Q346" s="160">
        <f t="shared" ref="Q346" si="1284">(W346-J346)*I346*IF(C346="B",1,-1)*IF(K346=0,1,0)</f>
        <v>4631.25</v>
      </c>
      <c r="R346" s="153" t="e">
        <f t="shared" ca="1" si="1219"/>
        <v>#VALUE!</v>
      </c>
      <c r="S346" s="119">
        <f t="shared" ref="S346" si="1285">(1-$S$6)*J346</f>
        <v>0.62999999999999989</v>
      </c>
      <c r="T346" s="115" t="e">
        <f>VLOOKUP(TRIM($F346),Reference!B:C,2,0)</f>
        <v>#VALUE!</v>
      </c>
      <c r="U346" s="170">
        <f t="shared" ref="U346" ca="1" si="1286">AC346</f>
        <v>0</v>
      </c>
      <c r="V346" s="120" t="str">
        <f t="shared" si="1213"/>
        <v>TATAMOTORS22JUL460CE</v>
      </c>
      <c r="W346" s="158">
        <f>VLOOKUP($V346,Reference!BA:BD,4,0)</f>
        <v>3.05</v>
      </c>
      <c r="X346" s="160">
        <f t="shared" ca="1" si="1214"/>
        <v>0</v>
      </c>
      <c r="Y346" s="160">
        <f t="shared" ca="1" si="1215"/>
        <v>0</v>
      </c>
      <c r="Z346" s="160">
        <f t="shared" ca="1" si="1220"/>
        <v>0</v>
      </c>
      <c r="AA346" s="160">
        <f t="shared" ca="1" si="1216"/>
        <v>0</v>
      </c>
      <c r="AB346" s="160">
        <f t="shared" ca="1" si="1217"/>
        <v>0</v>
      </c>
      <c r="AC346" s="119">
        <f t="shared" ca="1" si="1218"/>
        <v>0</v>
      </c>
      <c r="AD346" s="115">
        <f t="shared" ref="AD346" ca="1" si="1287">(H346-TODAY())/365</f>
        <v>-1.1342465753424658</v>
      </c>
      <c r="AE346" s="115">
        <f t="shared" ref="AE346" si="1288">IF(I346&lt;&gt;0,20,0)</f>
        <v>20</v>
      </c>
      <c r="AF346" s="115"/>
      <c r="AG346" s="115"/>
      <c r="AH346" s="115">
        <f t="shared" si="755"/>
        <v>4.4887500000000005</v>
      </c>
      <c r="AI346" s="115"/>
      <c r="AJ346" s="115">
        <f t="shared" si="756"/>
        <v>0</v>
      </c>
      <c r="AK346" s="115"/>
      <c r="AL346" s="142"/>
      <c r="AM346" s="153"/>
      <c r="AN346" s="153"/>
      <c r="AO346" s="153"/>
      <c r="AP346" s="153"/>
      <c r="AQ346" s="153"/>
      <c r="AR346" s="153"/>
      <c r="AS346" s="153"/>
      <c r="AT346" s="153"/>
      <c r="AU346" s="153"/>
      <c r="AV346" s="153"/>
      <c r="AW346" s="153"/>
      <c r="AX346" s="153"/>
      <c r="AY346" s="153"/>
      <c r="AZ346" s="153"/>
      <c r="BA346" s="153"/>
      <c r="BB346" s="153"/>
      <c r="BC346" s="153"/>
      <c r="BD346" s="153"/>
      <c r="BE346" s="153"/>
      <c r="BF346" s="153"/>
      <c r="BG346" s="153"/>
      <c r="BS346" s="13">
        <v>2</v>
      </c>
      <c r="BT346" s="123">
        <v>44491</v>
      </c>
      <c r="BU346" s="116" t="s">
        <v>8</v>
      </c>
      <c r="BV346" s="115" t="s">
        <v>482</v>
      </c>
      <c r="BW346" s="116" t="s">
        <v>502</v>
      </c>
      <c r="BX346" s="115">
        <v>18400</v>
      </c>
      <c r="BY346" s="115">
        <v>41.7</v>
      </c>
      <c r="BZ346" s="115">
        <v>47.945</v>
      </c>
      <c r="CA346" s="119">
        <v>-3216.6708800000001</v>
      </c>
      <c r="CB346" s="115">
        <v>1.1497601918465228</v>
      </c>
      <c r="CC346" s="115">
        <v>500</v>
      </c>
      <c r="CD346" s="115">
        <v>50</v>
      </c>
      <c r="CE346" s="119">
        <v>20850</v>
      </c>
    </row>
    <row r="347" spans="1:83" hidden="1">
      <c r="A347" s="13">
        <f t="shared" si="753"/>
        <v>340</v>
      </c>
      <c r="B347" s="123">
        <v>44739</v>
      </c>
      <c r="C347" s="116" t="s">
        <v>8</v>
      </c>
      <c r="D347" s="116">
        <v>1</v>
      </c>
      <c r="E347" s="115" t="s">
        <v>481</v>
      </c>
      <c r="F347" s="116" t="s">
        <v>130</v>
      </c>
      <c r="G347" s="115">
        <v>235</v>
      </c>
      <c r="H347" s="117">
        <v>44770</v>
      </c>
      <c r="I347" s="115">
        <v>3375</v>
      </c>
      <c r="J347" s="115">
        <v>2.7</v>
      </c>
      <c r="K347" s="115">
        <v>0</v>
      </c>
      <c r="L347" s="119">
        <f t="shared" ca="1" si="1266"/>
        <v>0</v>
      </c>
      <c r="M347" s="119">
        <f t="shared" si="1267"/>
        <v>0</v>
      </c>
      <c r="N347" s="115">
        <f t="shared" ref="N347" si="1289">K347/$J347</f>
        <v>0</v>
      </c>
      <c r="O347" s="156">
        <f t="shared" ref="O347" si="1290">J347*(1+$O$6*IF(C347="B",-1,1))</f>
        <v>3.375</v>
      </c>
      <c r="P347" s="160">
        <f t="shared" si="754"/>
        <v>9112.5</v>
      </c>
      <c r="Q347" s="160">
        <f t="shared" ref="Q347" si="1291">(W347-J347)*I347*IF(C347="B",1,-1)*IF(K347=0,1,0)</f>
        <v>1687.5</v>
      </c>
      <c r="R347" s="153" t="e">
        <f t="shared" ca="1" si="1219"/>
        <v>#VALUE!</v>
      </c>
      <c r="S347" s="119">
        <f t="shared" ref="S347" si="1292">(1-$S$6)*J347</f>
        <v>0.26999999999999996</v>
      </c>
      <c r="T347" s="115" t="e">
        <f>VLOOKUP(TRIM($F347),Reference!B:C,2,0)</f>
        <v>#VALUE!</v>
      </c>
      <c r="U347" s="170">
        <f t="shared" ref="U347" ca="1" si="1293">AC347</f>
        <v>0</v>
      </c>
      <c r="V347" s="120" t="str">
        <f t="shared" si="1213"/>
        <v>TATAPOWER22JUL235CE</v>
      </c>
      <c r="W347" s="158">
        <f>VLOOKUP($V347,Reference!BA:BD,4,0)</f>
        <v>2.2000000000000002</v>
      </c>
      <c r="X347" s="160">
        <f t="shared" ca="1" si="1214"/>
        <v>0</v>
      </c>
      <c r="Y347" s="160">
        <f t="shared" ca="1" si="1215"/>
        <v>0</v>
      </c>
      <c r="Z347" s="160">
        <f t="shared" ca="1" si="1220"/>
        <v>0</v>
      </c>
      <c r="AA347" s="160">
        <f t="shared" ca="1" si="1216"/>
        <v>0</v>
      </c>
      <c r="AB347" s="160">
        <f t="shared" ca="1" si="1217"/>
        <v>0</v>
      </c>
      <c r="AC347" s="119">
        <f t="shared" ca="1" si="1218"/>
        <v>0</v>
      </c>
      <c r="AD347" s="115">
        <f t="shared" ref="AD347" ca="1" si="1294">(H347-TODAY())/365</f>
        <v>-1.1342465753424658</v>
      </c>
      <c r="AE347" s="115">
        <f t="shared" ref="AE347" si="1295">IF(I347&lt;&gt;0,20,0)</f>
        <v>20</v>
      </c>
      <c r="AF347" s="115"/>
      <c r="AG347" s="115"/>
      <c r="AH347" s="115">
        <f t="shared" si="755"/>
        <v>4.5562500000000004</v>
      </c>
      <c r="AI347" s="115"/>
      <c r="AJ347" s="115">
        <f t="shared" si="756"/>
        <v>0</v>
      </c>
      <c r="AK347" s="115"/>
      <c r="AL347" s="142"/>
      <c r="AM347" s="153"/>
      <c r="AN347" s="153"/>
      <c r="AO347" s="153"/>
      <c r="AP347" s="153"/>
      <c r="AQ347" s="153"/>
      <c r="AR347" s="153"/>
      <c r="AS347" s="153"/>
      <c r="AT347" s="153"/>
      <c r="AU347" s="153"/>
      <c r="AV347" s="153"/>
      <c r="AW347" s="153"/>
      <c r="AX347" s="153"/>
      <c r="AY347" s="153"/>
      <c r="AZ347" s="153"/>
      <c r="BA347" s="153"/>
      <c r="BB347" s="153"/>
      <c r="BC347" s="153"/>
      <c r="BD347" s="153"/>
      <c r="BE347" s="153"/>
      <c r="BF347" s="153"/>
      <c r="BG347" s="153"/>
      <c r="BS347" s="13">
        <v>2</v>
      </c>
      <c r="BT347" s="123">
        <v>44491</v>
      </c>
      <c r="BU347" s="116" t="s">
        <v>8</v>
      </c>
      <c r="BV347" s="115" t="s">
        <v>482</v>
      </c>
      <c r="BW347" s="116" t="s">
        <v>502</v>
      </c>
      <c r="BX347" s="115">
        <v>18400</v>
      </c>
      <c r="BY347" s="115">
        <v>41.7</v>
      </c>
      <c r="BZ347" s="115">
        <v>47.945</v>
      </c>
      <c r="CA347" s="119">
        <v>-3216.6708800000001</v>
      </c>
      <c r="CB347" s="115">
        <v>1.1497601918465228</v>
      </c>
      <c r="CC347" s="115">
        <v>500</v>
      </c>
      <c r="CD347" s="115">
        <v>50</v>
      </c>
      <c r="CE347" s="119">
        <v>20850</v>
      </c>
    </row>
    <row r="348" spans="1:83" hidden="1">
      <c r="A348" s="13">
        <f t="shared" si="753"/>
        <v>341</v>
      </c>
      <c r="B348" s="123">
        <v>44739</v>
      </c>
      <c r="C348" s="116" t="s">
        <v>8</v>
      </c>
      <c r="D348" s="116">
        <v>1</v>
      </c>
      <c r="E348" s="115" t="s">
        <v>481</v>
      </c>
      <c r="F348" s="116" t="s">
        <v>502</v>
      </c>
      <c r="G348" s="115">
        <v>16650</v>
      </c>
      <c r="H348" s="117">
        <v>44770</v>
      </c>
      <c r="I348" s="115">
        <v>50</v>
      </c>
      <c r="J348" s="115">
        <v>91.8</v>
      </c>
      <c r="K348" s="115">
        <v>0</v>
      </c>
      <c r="L348" s="119">
        <f t="shared" ca="1" si="1266"/>
        <v>0</v>
      </c>
      <c r="M348" s="119">
        <f t="shared" si="1267"/>
        <v>0</v>
      </c>
      <c r="N348" s="115">
        <f t="shared" ref="N348" si="1296">K348/$J348</f>
        <v>0</v>
      </c>
      <c r="O348" s="156">
        <f t="shared" ref="O348" si="1297">J348*(1+$O$6*IF(C348="B",-1,1))</f>
        <v>114.75</v>
      </c>
      <c r="P348" s="160">
        <f t="shared" si="754"/>
        <v>4590</v>
      </c>
      <c r="Q348" s="160">
        <f t="shared" ref="Q348" si="1298">(W348-J348)*I348*IF(C348="B",1,-1)*IF(K348=0,1,0)</f>
        <v>3792.4999999999995</v>
      </c>
      <c r="R348" s="153" t="e">
        <f t="shared" ca="1" si="1219"/>
        <v>#VALUE!</v>
      </c>
      <c r="S348" s="119">
        <f t="shared" ref="S348" si="1299">(1-$S$6)*J348</f>
        <v>9.1799999999999979</v>
      </c>
      <c r="T348" s="115" t="str">
        <f>VLOOKUP(TRIM($F348),Reference!B:C,2,0)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48" s="170">
        <f t="shared" ref="U348" ca="1" si="1300">AC348</f>
        <v>0</v>
      </c>
      <c r="V348" s="120" t="str">
        <f t="shared" si="1213"/>
        <v>NIFTY22JUL16650CE</v>
      </c>
      <c r="W348" s="158">
        <f>VLOOKUP($V348,Reference!BA:BD,4,0)</f>
        <v>15.95</v>
      </c>
      <c r="X348" s="160">
        <f t="shared" ca="1" si="1214"/>
        <v>0</v>
      </c>
      <c r="Y348" s="160">
        <f t="shared" ca="1" si="1215"/>
        <v>0</v>
      </c>
      <c r="Z348" s="160">
        <f t="shared" ca="1" si="1220"/>
        <v>0</v>
      </c>
      <c r="AA348" s="160">
        <f t="shared" ca="1" si="1216"/>
        <v>0</v>
      </c>
      <c r="AB348" s="160">
        <f t="shared" ca="1" si="1217"/>
        <v>0</v>
      </c>
      <c r="AC348" s="119">
        <f t="shared" ca="1" si="1218"/>
        <v>0</v>
      </c>
      <c r="AD348" s="115">
        <f t="shared" ref="AD348" ca="1" si="1301">(H348-TODAY())/365</f>
        <v>-1.1342465753424658</v>
      </c>
      <c r="AE348" s="115">
        <f t="shared" ref="AE348" si="1302">IF(I348&lt;&gt;0,20,0)</f>
        <v>20</v>
      </c>
      <c r="AF348" s="115"/>
      <c r="AG348" s="115"/>
      <c r="AH348" s="115">
        <f t="shared" si="755"/>
        <v>2.2949999999999999</v>
      </c>
      <c r="AI348" s="115"/>
      <c r="AJ348" s="115">
        <f t="shared" si="756"/>
        <v>0</v>
      </c>
      <c r="AK348" s="115"/>
      <c r="AL348" s="142"/>
      <c r="AM348" s="153"/>
      <c r="AN348" s="153"/>
      <c r="AO348" s="153"/>
      <c r="AP348" s="153"/>
      <c r="AQ348" s="153"/>
      <c r="AR348" s="153"/>
      <c r="AS348" s="153"/>
      <c r="AT348" s="153"/>
      <c r="AU348" s="153"/>
      <c r="AV348" s="153"/>
      <c r="AW348" s="153"/>
      <c r="AX348" s="153"/>
      <c r="AY348" s="153"/>
      <c r="AZ348" s="153"/>
      <c r="BA348" s="153"/>
      <c r="BB348" s="153"/>
      <c r="BC348" s="153"/>
      <c r="BD348" s="153"/>
      <c r="BE348" s="153"/>
      <c r="BF348" s="153"/>
      <c r="BG348" s="153"/>
      <c r="BS348" s="13">
        <v>2</v>
      </c>
      <c r="BT348" s="123">
        <v>44491</v>
      </c>
      <c r="BU348" s="116" t="s">
        <v>8</v>
      </c>
      <c r="BV348" s="115" t="s">
        <v>482</v>
      </c>
      <c r="BW348" s="116" t="s">
        <v>502</v>
      </c>
      <c r="BX348" s="115">
        <v>18400</v>
      </c>
      <c r="BY348" s="115">
        <v>41.7</v>
      </c>
      <c r="BZ348" s="115">
        <v>47.945</v>
      </c>
      <c r="CA348" s="119">
        <v>-3216.6708800000001</v>
      </c>
      <c r="CB348" s="115">
        <v>1.1497601918465228</v>
      </c>
      <c r="CC348" s="115">
        <v>500</v>
      </c>
      <c r="CD348" s="115">
        <v>50</v>
      </c>
      <c r="CE348" s="119">
        <v>20850</v>
      </c>
    </row>
    <row r="349" spans="1:83">
      <c r="A349" s="13">
        <f t="shared" si="753"/>
        <v>342</v>
      </c>
      <c r="B349" s="123">
        <v>44739</v>
      </c>
      <c r="C349" s="116" t="s">
        <v>8</v>
      </c>
      <c r="D349" s="116">
        <v>1</v>
      </c>
      <c r="E349" s="115" t="s">
        <v>481</v>
      </c>
      <c r="F349" s="116" t="s">
        <v>104</v>
      </c>
      <c r="G349" s="115">
        <v>2440</v>
      </c>
      <c r="H349" s="117">
        <v>44770</v>
      </c>
      <c r="I349" s="115">
        <v>300</v>
      </c>
      <c r="J349" s="115">
        <v>24.1</v>
      </c>
      <c r="K349" s="115">
        <v>0</v>
      </c>
      <c r="L349" s="119">
        <f t="shared" ca="1" si="1266"/>
        <v>0</v>
      </c>
      <c r="M349" s="119">
        <f t="shared" si="1267"/>
        <v>0</v>
      </c>
      <c r="N349" s="115">
        <f t="shared" ref="N349" si="1303">K349/$J349</f>
        <v>0</v>
      </c>
      <c r="O349" s="156">
        <f t="shared" ref="O349" si="1304">J349*(1+$O$6*IF(C349="B",-1,1))</f>
        <v>30.125</v>
      </c>
      <c r="P349" s="160">
        <f t="shared" si="754"/>
        <v>7230</v>
      </c>
      <c r="Q349" s="160">
        <f t="shared" ref="Q349" si="1305">(W349-J349)*I349*IF(C349="B",1,-1)*IF(K349=0,1,0)</f>
        <v>-19440.000000000004</v>
      </c>
      <c r="R349" s="153" t="e">
        <f t="shared" ca="1" si="1219"/>
        <v>#VALUE!</v>
      </c>
      <c r="S349" s="119">
        <f t="shared" ref="S349" si="1306">(1-$S$6)*J349</f>
        <v>2.4099999999999997</v>
      </c>
      <c r="T349" s="115" t="e">
        <f>VLOOKUP(TRIM($F349),Reference!B:C,2,0)</f>
        <v>#VALUE!</v>
      </c>
      <c r="U349" s="170">
        <f t="shared" ref="U349" ca="1" si="1307">AC349</f>
        <v>0</v>
      </c>
      <c r="V349" s="120" t="str">
        <f t="shared" si="1213"/>
        <v>HINDUNILVR22JUL2440CE</v>
      </c>
      <c r="W349" s="158">
        <f>VLOOKUP($V349,Reference!BA:BD,4,0)</f>
        <v>88.9</v>
      </c>
      <c r="X349" s="160">
        <f t="shared" ca="1" si="1214"/>
        <v>0</v>
      </c>
      <c r="Y349" s="160">
        <f t="shared" ca="1" si="1215"/>
        <v>0</v>
      </c>
      <c r="Z349" s="160">
        <f t="shared" ca="1" si="1220"/>
        <v>0</v>
      </c>
      <c r="AA349" s="160">
        <f t="shared" ca="1" si="1216"/>
        <v>0</v>
      </c>
      <c r="AB349" s="160">
        <f t="shared" ca="1" si="1217"/>
        <v>0</v>
      </c>
      <c r="AC349" s="119">
        <f t="shared" ca="1" si="1218"/>
        <v>0</v>
      </c>
      <c r="AD349" s="115">
        <f t="shared" ref="AD349" ca="1" si="1308">(H349-TODAY())/365</f>
        <v>-1.1342465753424658</v>
      </c>
      <c r="AE349" s="115">
        <f t="shared" ref="AE349" si="1309">IF(I349&lt;&gt;0,20,0)</f>
        <v>20</v>
      </c>
      <c r="AF349" s="115"/>
      <c r="AG349" s="115"/>
      <c r="AH349" s="115">
        <f t="shared" si="755"/>
        <v>3.6150000000000002</v>
      </c>
      <c r="AI349" s="115"/>
      <c r="AJ349" s="115">
        <f t="shared" si="756"/>
        <v>0</v>
      </c>
      <c r="AK349" s="115"/>
      <c r="AL349" s="142"/>
      <c r="AM349" s="153"/>
      <c r="AN349" s="153"/>
      <c r="AO349" s="153"/>
      <c r="AP349" s="153"/>
      <c r="AQ349" s="153"/>
      <c r="AR349" s="153"/>
      <c r="AS349" s="153"/>
      <c r="AT349" s="153"/>
      <c r="AU349" s="153"/>
      <c r="AV349" s="153"/>
      <c r="AW349" s="153"/>
      <c r="AX349" s="153"/>
      <c r="AY349" s="153"/>
      <c r="AZ349" s="153"/>
      <c r="BA349" s="153"/>
      <c r="BB349" s="153"/>
      <c r="BC349" s="153"/>
      <c r="BD349" s="153"/>
      <c r="BE349" s="153"/>
      <c r="BF349" s="153"/>
      <c r="BG349" s="153"/>
      <c r="BS349" s="13">
        <v>2</v>
      </c>
      <c r="BT349" s="123">
        <v>44491</v>
      </c>
      <c r="BU349" s="116" t="s">
        <v>8</v>
      </c>
      <c r="BV349" s="115" t="s">
        <v>482</v>
      </c>
      <c r="BW349" s="116" t="s">
        <v>502</v>
      </c>
      <c r="BX349" s="115">
        <v>18400</v>
      </c>
      <c r="BY349" s="115">
        <v>41.7</v>
      </c>
      <c r="BZ349" s="115">
        <v>47.945</v>
      </c>
      <c r="CA349" s="119">
        <v>-3216.6708800000001</v>
      </c>
      <c r="CB349" s="115">
        <v>1.1497601918465228</v>
      </c>
      <c r="CC349" s="115">
        <v>500</v>
      </c>
      <c r="CD349" s="115">
        <v>50</v>
      </c>
      <c r="CE349" s="119">
        <v>20850</v>
      </c>
    </row>
    <row r="350" spans="1:83">
      <c r="A350" s="13">
        <f t="shared" si="753"/>
        <v>343</v>
      </c>
      <c r="B350" s="123">
        <v>44739</v>
      </c>
      <c r="C350" s="116" t="s">
        <v>6</v>
      </c>
      <c r="D350" s="116">
        <v>1</v>
      </c>
      <c r="E350" s="115" t="s">
        <v>482</v>
      </c>
      <c r="F350" s="116" t="s">
        <v>104</v>
      </c>
      <c r="G350" s="115">
        <v>2300</v>
      </c>
      <c r="H350" s="117">
        <v>44770</v>
      </c>
      <c r="I350" s="115">
        <v>300</v>
      </c>
      <c r="J350" s="115">
        <v>55.25</v>
      </c>
      <c r="K350" s="115">
        <v>25.05</v>
      </c>
      <c r="L350" s="119">
        <f t="shared" ca="1" si="1266"/>
        <v>0</v>
      </c>
      <c r="M350" s="119">
        <f t="shared" si="1267"/>
        <v>-9060</v>
      </c>
      <c r="N350" s="115">
        <f t="shared" ref="N350:N351" si="1310">K350/$J350</f>
        <v>0.45339366515837104</v>
      </c>
      <c r="O350" s="156">
        <f t="shared" ref="O350:O351" si="1311">J350*(1+$O$6*IF(C350="B",-1,1))</f>
        <v>41.4375</v>
      </c>
      <c r="P350" s="160">
        <f t="shared" si="754"/>
        <v>16575</v>
      </c>
      <c r="Q350" s="160" t="e">
        <f t="shared" ref="Q350:Q351" si="1312">(W350-J350)*I350*IF(C350="B",1,-1)*IF(K350=0,1,0)</f>
        <v>#N/A</v>
      </c>
      <c r="R350" s="153" t="e">
        <f t="shared" ca="1" si="1219"/>
        <v>#VALUE!</v>
      </c>
      <c r="S350" s="119">
        <f t="shared" ref="S350:S351" si="1313">(1-$S$6)*J350</f>
        <v>5.5249999999999986</v>
      </c>
      <c r="T350" s="115" t="e">
        <f>VLOOKUP(TRIM($F350),Reference!B:C,2,0)</f>
        <v>#VALUE!</v>
      </c>
      <c r="U350" s="170">
        <f t="shared" ref="U350:U351" ca="1" si="1314">AC350</f>
        <v>0</v>
      </c>
      <c r="V350" s="120" t="str">
        <f t="shared" si="1213"/>
        <v>HINDUNILVR22JUL2300PE</v>
      </c>
      <c r="W350" s="158" t="e">
        <f>VLOOKUP($V350,Reference!BA:BD,4,0)</f>
        <v>#N/A</v>
      </c>
      <c r="X350" s="160">
        <f t="shared" ca="1" si="1214"/>
        <v>0</v>
      </c>
      <c r="Y350" s="160">
        <f t="shared" ca="1" si="1215"/>
        <v>0</v>
      </c>
      <c r="Z350" s="160">
        <f t="shared" ca="1" si="1220"/>
        <v>0</v>
      </c>
      <c r="AA350" s="160">
        <f t="shared" ca="1" si="1216"/>
        <v>0</v>
      </c>
      <c r="AB350" s="160">
        <f t="shared" ca="1" si="1217"/>
        <v>0</v>
      </c>
      <c r="AC350" s="119">
        <f t="shared" ca="1" si="1218"/>
        <v>0</v>
      </c>
      <c r="AD350" s="115">
        <f t="shared" ref="AD350:AD351" ca="1" si="1315">(H350-TODAY())/365</f>
        <v>-1.1342465753424658</v>
      </c>
      <c r="AE350" s="115">
        <f t="shared" ref="AE350:AE351" si="1316">IF(I350&lt;&gt;0,20,0)</f>
        <v>20</v>
      </c>
      <c r="AF350" s="115"/>
      <c r="AG350" s="115"/>
      <c r="AH350" s="115">
        <f t="shared" si="755"/>
        <v>0</v>
      </c>
      <c r="AI350" s="115"/>
      <c r="AJ350" s="115">
        <f t="shared" si="756"/>
        <v>0.49725000000000003</v>
      </c>
      <c r="AK350" s="115"/>
      <c r="AL350" s="142"/>
      <c r="AM350" s="153"/>
      <c r="AN350" s="153"/>
      <c r="AO350" s="153"/>
      <c r="AP350" s="153"/>
      <c r="AQ350" s="153"/>
      <c r="AR350" s="153"/>
      <c r="AS350" s="153"/>
      <c r="AT350" s="153"/>
      <c r="AU350" s="153"/>
      <c r="AV350" s="153"/>
      <c r="AW350" s="153"/>
      <c r="AX350" s="153"/>
      <c r="AY350" s="153"/>
      <c r="AZ350" s="153"/>
      <c r="BA350" s="153"/>
      <c r="BB350" s="153"/>
      <c r="BC350" s="153"/>
      <c r="BD350" s="153"/>
      <c r="BE350" s="153"/>
      <c r="BF350" s="153"/>
      <c r="BG350" s="153"/>
      <c r="BS350" s="13">
        <v>2</v>
      </c>
      <c r="BT350" s="123">
        <v>44491</v>
      </c>
      <c r="BU350" s="116" t="s">
        <v>8</v>
      </c>
      <c r="BV350" s="115" t="s">
        <v>482</v>
      </c>
      <c r="BW350" s="116" t="s">
        <v>502</v>
      </c>
      <c r="BX350" s="115">
        <v>18400</v>
      </c>
      <c r="BY350" s="115">
        <v>41.7</v>
      </c>
      <c r="BZ350" s="115">
        <v>47.945</v>
      </c>
      <c r="CA350" s="119">
        <v>-3216.6708800000001</v>
      </c>
      <c r="CB350" s="115">
        <v>1.1497601918465228</v>
      </c>
      <c r="CC350" s="115">
        <v>500</v>
      </c>
      <c r="CD350" s="115">
        <v>50</v>
      </c>
      <c r="CE350" s="119">
        <v>20850</v>
      </c>
    </row>
    <row r="351" spans="1:83" hidden="1">
      <c r="A351" s="13">
        <f t="shared" si="753"/>
        <v>344</v>
      </c>
      <c r="B351" s="123">
        <v>44739</v>
      </c>
      <c r="C351" s="116" t="s">
        <v>8</v>
      </c>
      <c r="D351" s="116">
        <v>1</v>
      </c>
      <c r="E351" s="115" t="s">
        <v>481</v>
      </c>
      <c r="F351" s="116" t="s">
        <v>284</v>
      </c>
      <c r="G351" s="115">
        <v>450</v>
      </c>
      <c r="H351" s="117">
        <v>44770</v>
      </c>
      <c r="I351" s="115">
        <v>1425</v>
      </c>
      <c r="J351" s="115">
        <v>7.8</v>
      </c>
      <c r="K351" s="115">
        <v>0</v>
      </c>
      <c r="L351" s="119">
        <f t="shared" ca="1" si="1266"/>
        <v>0</v>
      </c>
      <c r="M351" s="119">
        <f t="shared" si="1267"/>
        <v>0</v>
      </c>
      <c r="N351" s="115">
        <f t="shared" si="1310"/>
        <v>0</v>
      </c>
      <c r="O351" s="156">
        <f t="shared" si="1311"/>
        <v>9.75</v>
      </c>
      <c r="P351" s="160">
        <f t="shared" si="754"/>
        <v>11115</v>
      </c>
      <c r="Q351" s="160">
        <f t="shared" si="1312"/>
        <v>4346.25</v>
      </c>
      <c r="R351" s="153" t="e">
        <f t="shared" ca="1" si="1219"/>
        <v>#VALUE!</v>
      </c>
      <c r="S351" s="119">
        <f t="shared" si="1313"/>
        <v>0.7799999999999998</v>
      </c>
      <c r="T351" s="115" t="e">
        <f>VLOOKUP(TRIM($F351),Reference!B:C,2,0)</f>
        <v>#VALUE!</v>
      </c>
      <c r="U351" s="170">
        <f t="shared" ca="1" si="1314"/>
        <v>0</v>
      </c>
      <c r="V351" s="120" t="str">
        <f t="shared" si="1213"/>
        <v>TATAMOTORS22JUL450CE</v>
      </c>
      <c r="W351" s="158">
        <f>VLOOKUP($V351,Reference!BA:BD,4,0)</f>
        <v>4.75</v>
      </c>
      <c r="X351" s="160">
        <f t="shared" ca="1" si="1214"/>
        <v>0</v>
      </c>
      <c r="Y351" s="160">
        <f t="shared" ca="1" si="1215"/>
        <v>0</v>
      </c>
      <c r="Z351" s="160">
        <f t="shared" ca="1" si="1220"/>
        <v>0</v>
      </c>
      <c r="AA351" s="160">
        <f t="shared" ca="1" si="1216"/>
        <v>0</v>
      </c>
      <c r="AB351" s="160">
        <f t="shared" ca="1" si="1217"/>
        <v>0</v>
      </c>
      <c r="AC351" s="119">
        <f t="shared" ca="1" si="1218"/>
        <v>0</v>
      </c>
      <c r="AD351" s="115">
        <f t="shared" ca="1" si="1315"/>
        <v>-1.1342465753424658</v>
      </c>
      <c r="AE351" s="115">
        <f t="shared" si="1316"/>
        <v>20</v>
      </c>
      <c r="AF351" s="115"/>
      <c r="AG351" s="115"/>
      <c r="AH351" s="115">
        <f t="shared" si="755"/>
        <v>5.5575000000000001</v>
      </c>
      <c r="AI351" s="115"/>
      <c r="AJ351" s="115">
        <f t="shared" si="756"/>
        <v>0</v>
      </c>
      <c r="AK351" s="115"/>
      <c r="AL351" s="142"/>
      <c r="AM351" s="153"/>
      <c r="AN351" s="153"/>
      <c r="AO351" s="153"/>
      <c r="AP351" s="153"/>
      <c r="AQ351" s="153"/>
      <c r="AR351" s="153"/>
      <c r="AS351" s="153"/>
      <c r="AT351" s="153"/>
      <c r="AU351" s="153"/>
      <c r="AV351" s="153"/>
      <c r="AW351" s="153"/>
      <c r="AX351" s="153"/>
      <c r="AY351" s="153"/>
      <c r="AZ351" s="153"/>
      <c r="BA351" s="153"/>
      <c r="BB351" s="153"/>
      <c r="BC351" s="153"/>
      <c r="BD351" s="153"/>
      <c r="BE351" s="153"/>
      <c r="BF351" s="153"/>
      <c r="BG351" s="153"/>
      <c r="BS351" s="13">
        <v>2</v>
      </c>
      <c r="BT351" s="123">
        <v>44491</v>
      </c>
      <c r="BU351" s="116" t="s">
        <v>8</v>
      </c>
      <c r="BV351" s="115" t="s">
        <v>482</v>
      </c>
      <c r="BW351" s="116" t="s">
        <v>502</v>
      </c>
      <c r="BX351" s="115">
        <v>18400</v>
      </c>
      <c r="BY351" s="115">
        <v>41.7</v>
      </c>
      <c r="BZ351" s="115">
        <v>47.945</v>
      </c>
      <c r="CA351" s="119">
        <v>-3216.6708800000001</v>
      </c>
      <c r="CB351" s="115">
        <v>1.1497601918465228</v>
      </c>
      <c r="CC351" s="115">
        <v>500</v>
      </c>
      <c r="CD351" s="115">
        <v>50</v>
      </c>
      <c r="CE351" s="119">
        <v>20850</v>
      </c>
    </row>
    <row r="352" spans="1:83" hidden="1">
      <c r="A352" s="13">
        <f t="shared" si="753"/>
        <v>345</v>
      </c>
      <c r="B352" s="123">
        <v>44739</v>
      </c>
      <c r="C352" s="116" t="s">
        <v>8</v>
      </c>
      <c r="D352" s="116">
        <v>1</v>
      </c>
      <c r="E352" s="115" t="s">
        <v>481</v>
      </c>
      <c r="F352" s="116" t="s">
        <v>126</v>
      </c>
      <c r="G352" s="115">
        <v>190</v>
      </c>
      <c r="H352" s="117">
        <v>44770</v>
      </c>
      <c r="I352" s="115">
        <v>3750</v>
      </c>
      <c r="J352" s="115">
        <v>3.35</v>
      </c>
      <c r="K352" s="115">
        <v>0.75</v>
      </c>
      <c r="L352" s="119">
        <f t="shared" ca="1" si="1266"/>
        <v>0</v>
      </c>
      <c r="M352" s="119">
        <f t="shared" si="1267"/>
        <v>9750</v>
      </c>
      <c r="N352" s="115">
        <f t="shared" ref="N352:N353" si="1317">K352/$J352</f>
        <v>0.22388059701492538</v>
      </c>
      <c r="O352" s="156">
        <f t="shared" ref="O352:O353" si="1318">J352*(1+$O$6*IF(C352="B",-1,1))</f>
        <v>4.1875</v>
      </c>
      <c r="P352" s="160">
        <f t="shared" si="754"/>
        <v>12562.5</v>
      </c>
      <c r="Q352" s="160" t="e">
        <f t="shared" ref="Q352:Q353" si="1319">(W352-J352)*I352*IF(C352="B",1,-1)*IF(K352=0,1,0)</f>
        <v>#N/A</v>
      </c>
      <c r="R352" s="153" t="e">
        <f t="shared" ca="1" si="1219"/>
        <v>#VALUE!</v>
      </c>
      <c r="S352" s="119">
        <f t="shared" ref="S352:S353" si="1320">(1-$S$6)*J352</f>
        <v>0.33499999999999991</v>
      </c>
      <c r="T352" s="115" t="e">
        <f>VLOOKUP(TRIM($F352),Reference!B:C,2,0)</f>
        <v>#VALUE!</v>
      </c>
      <c r="U352" s="170">
        <f t="shared" ref="U352:U353" ca="1" si="1321">AC352</f>
        <v>0</v>
      </c>
      <c r="V352" s="120" t="str">
        <f t="shared" si="1213"/>
        <v>IEX22JUL190CE</v>
      </c>
      <c r="W352" s="158" t="e">
        <f>VLOOKUP($V352,Reference!BA:BD,4,0)</f>
        <v>#N/A</v>
      </c>
      <c r="X352" s="160">
        <f t="shared" ca="1" si="1214"/>
        <v>0</v>
      </c>
      <c r="Y352" s="160">
        <f t="shared" ca="1" si="1215"/>
        <v>0</v>
      </c>
      <c r="Z352" s="160">
        <f t="shared" ca="1" si="1220"/>
        <v>0</v>
      </c>
      <c r="AA352" s="160">
        <f t="shared" ca="1" si="1216"/>
        <v>0</v>
      </c>
      <c r="AB352" s="160">
        <f t="shared" ca="1" si="1217"/>
        <v>0</v>
      </c>
      <c r="AC352" s="119">
        <f t="shared" ca="1" si="1218"/>
        <v>0</v>
      </c>
      <c r="AD352" s="115">
        <f t="shared" ref="AD352:AD353" ca="1" si="1322">(H352-TODAY())/365</f>
        <v>-1.1342465753424658</v>
      </c>
      <c r="AE352" s="115">
        <f t="shared" ref="AE352:AE353" si="1323">IF(I352&lt;&gt;0,20,0)</f>
        <v>20</v>
      </c>
      <c r="AF352" s="115"/>
      <c r="AG352" s="115"/>
      <c r="AH352" s="115">
        <f t="shared" si="755"/>
        <v>6.28125</v>
      </c>
      <c r="AI352" s="115"/>
      <c r="AJ352" s="115">
        <f t="shared" si="756"/>
        <v>0</v>
      </c>
      <c r="AK352" s="115"/>
      <c r="AL352" s="142"/>
      <c r="AM352" s="153"/>
      <c r="AN352" s="153"/>
      <c r="AO352" s="153"/>
      <c r="AP352" s="153"/>
      <c r="AQ352" s="153"/>
      <c r="AR352" s="153"/>
      <c r="AS352" s="153"/>
      <c r="AT352" s="153"/>
      <c r="AU352" s="153"/>
      <c r="AV352" s="153"/>
      <c r="AW352" s="153"/>
      <c r="AX352" s="153"/>
      <c r="AY352" s="153"/>
      <c r="AZ352" s="153"/>
      <c r="BA352" s="153"/>
      <c r="BB352" s="153"/>
      <c r="BC352" s="153"/>
      <c r="BD352" s="153"/>
      <c r="BE352" s="153"/>
      <c r="BF352" s="153"/>
      <c r="BG352" s="153"/>
      <c r="BS352" s="13">
        <v>2</v>
      </c>
      <c r="BT352" s="123">
        <v>44491</v>
      </c>
      <c r="BU352" s="116" t="s">
        <v>8</v>
      </c>
      <c r="BV352" s="115" t="s">
        <v>482</v>
      </c>
      <c r="BW352" s="116" t="s">
        <v>502</v>
      </c>
      <c r="BX352" s="115">
        <v>18400</v>
      </c>
      <c r="BY352" s="115">
        <v>41.7</v>
      </c>
      <c r="BZ352" s="115">
        <v>47.945</v>
      </c>
      <c r="CA352" s="119">
        <v>-3216.6708800000001</v>
      </c>
      <c r="CB352" s="115">
        <v>1.1497601918465228</v>
      </c>
      <c r="CC352" s="115">
        <v>500</v>
      </c>
      <c r="CD352" s="115">
        <v>50</v>
      </c>
      <c r="CE352" s="119">
        <v>20850</v>
      </c>
    </row>
    <row r="353" spans="1:83" hidden="1">
      <c r="A353" s="13">
        <f t="shared" si="753"/>
        <v>346</v>
      </c>
      <c r="B353" s="123">
        <v>44740</v>
      </c>
      <c r="C353" s="116" t="s">
        <v>8</v>
      </c>
      <c r="D353" s="116">
        <v>1</v>
      </c>
      <c r="E353" s="115" t="s">
        <v>481</v>
      </c>
      <c r="F353" s="116" t="s">
        <v>284</v>
      </c>
      <c r="G353" s="115">
        <v>450</v>
      </c>
      <c r="H353" s="117">
        <v>44770</v>
      </c>
      <c r="I353" s="115">
        <v>1425</v>
      </c>
      <c r="J353" s="115">
        <v>7.4</v>
      </c>
      <c r="K353" s="115">
        <v>0</v>
      </c>
      <c r="L353" s="119">
        <f t="shared" ref="L353" ca="1" si="1324">IF(AND(K353&lt;&gt;0,I353&lt;&gt;0),(IF(C353="B",1,-1))*(K353-J353)*I353-AK353*2,0)*$D353*IF(MONTH($B$2)=MONTH($H353),1,0)</f>
        <v>0</v>
      </c>
      <c r="M353" s="119">
        <f t="shared" ref="M353" si="1325">IF(AND(K353&lt;&gt;0,I353&lt;&gt;0),(IF(C353="B",1,-1))*(K353-J353)*I353-AK353*2,0)*$D353</f>
        <v>0</v>
      </c>
      <c r="N353" s="115">
        <f t="shared" si="1317"/>
        <v>0</v>
      </c>
      <c r="O353" s="156">
        <f t="shared" si="1318"/>
        <v>9.25</v>
      </c>
      <c r="P353" s="160">
        <f t="shared" si="754"/>
        <v>10545</v>
      </c>
      <c r="Q353" s="160">
        <f t="shared" si="1319"/>
        <v>3776.2500000000005</v>
      </c>
      <c r="R353" s="153" t="e">
        <f t="shared" ca="1" si="1219"/>
        <v>#VALUE!</v>
      </c>
      <c r="S353" s="119">
        <f t="shared" si="1320"/>
        <v>0.73999999999999988</v>
      </c>
      <c r="T353" s="115" t="e">
        <f>VLOOKUP(TRIM($F353),Reference!B:C,2,0)</f>
        <v>#VALUE!</v>
      </c>
      <c r="U353" s="170">
        <f t="shared" ca="1" si="1321"/>
        <v>0</v>
      </c>
      <c r="V353" s="120" t="str">
        <f t="shared" si="1213"/>
        <v>TATAMOTORS22JUL450CE</v>
      </c>
      <c r="W353" s="158">
        <f>VLOOKUP($V353,Reference!BA:BD,4,0)</f>
        <v>4.75</v>
      </c>
      <c r="X353" s="160">
        <f t="shared" ca="1" si="1214"/>
        <v>0</v>
      </c>
      <c r="Y353" s="160">
        <f t="shared" ca="1" si="1215"/>
        <v>0</v>
      </c>
      <c r="Z353" s="160">
        <f t="shared" ca="1" si="1220"/>
        <v>0</v>
      </c>
      <c r="AA353" s="160">
        <f t="shared" ca="1" si="1216"/>
        <v>0</v>
      </c>
      <c r="AB353" s="160">
        <f t="shared" ca="1" si="1217"/>
        <v>0</v>
      </c>
      <c r="AC353" s="119">
        <f t="shared" ca="1" si="1218"/>
        <v>0</v>
      </c>
      <c r="AD353" s="115">
        <f t="shared" ca="1" si="1322"/>
        <v>-1.1342465753424658</v>
      </c>
      <c r="AE353" s="115">
        <f t="shared" si="1323"/>
        <v>20</v>
      </c>
      <c r="AF353" s="115"/>
      <c r="AG353" s="115"/>
      <c r="AH353" s="115">
        <f t="shared" si="755"/>
        <v>5.2725</v>
      </c>
      <c r="AI353" s="115"/>
      <c r="AJ353" s="115">
        <f t="shared" si="756"/>
        <v>0</v>
      </c>
      <c r="AK353" s="115"/>
      <c r="AL353" s="142"/>
      <c r="AM353" s="153"/>
      <c r="AN353" s="153"/>
      <c r="AO353" s="153"/>
      <c r="AP353" s="153"/>
      <c r="AQ353" s="153"/>
      <c r="AR353" s="153"/>
      <c r="AS353" s="153"/>
      <c r="AT353" s="153"/>
      <c r="AU353" s="153"/>
      <c r="AV353" s="153"/>
      <c r="AW353" s="153"/>
      <c r="AX353" s="153"/>
      <c r="AY353" s="153"/>
      <c r="AZ353" s="153"/>
      <c r="BA353" s="153"/>
      <c r="BB353" s="153"/>
      <c r="BC353" s="153"/>
      <c r="BD353" s="153"/>
      <c r="BE353" s="153"/>
      <c r="BF353" s="153"/>
      <c r="BG353" s="153"/>
      <c r="BS353" s="13">
        <v>2</v>
      </c>
      <c r="BT353" s="123">
        <v>44491</v>
      </c>
      <c r="BU353" s="116" t="s">
        <v>8</v>
      </c>
      <c r="BV353" s="115" t="s">
        <v>482</v>
      </c>
      <c r="BW353" s="116" t="s">
        <v>502</v>
      </c>
      <c r="BX353" s="115">
        <v>18400</v>
      </c>
      <c r="BY353" s="115">
        <v>41.7</v>
      </c>
      <c r="BZ353" s="115">
        <v>47.945</v>
      </c>
      <c r="CA353" s="119">
        <v>-3216.6708800000001</v>
      </c>
      <c r="CB353" s="115">
        <v>1.1497601918465228</v>
      </c>
      <c r="CC353" s="115">
        <v>500</v>
      </c>
      <c r="CD353" s="115">
        <v>50</v>
      </c>
      <c r="CE353" s="119">
        <v>20850</v>
      </c>
    </row>
    <row r="354" spans="1:83" hidden="1">
      <c r="A354" s="13">
        <f t="shared" si="753"/>
        <v>347</v>
      </c>
      <c r="B354" s="123">
        <v>44740</v>
      </c>
      <c r="C354" s="116" t="s">
        <v>8</v>
      </c>
      <c r="D354" s="116">
        <v>1</v>
      </c>
      <c r="E354" s="115" t="s">
        <v>481</v>
      </c>
      <c r="F354" s="116" t="s">
        <v>502</v>
      </c>
      <c r="G354" s="115">
        <v>16500</v>
      </c>
      <c r="H354" s="117">
        <v>44770</v>
      </c>
      <c r="I354" s="115">
        <v>100</v>
      </c>
      <c r="J354" s="115">
        <v>95</v>
      </c>
      <c r="K354" s="115">
        <v>91.2</v>
      </c>
      <c r="L354" s="119">
        <f t="shared" ref="L354" ca="1" si="1326">IF(AND(K354&lt;&gt;0,I354&lt;&gt;0),(IF(C354="B",1,-1))*(K354-J354)*I354-AK354*2,0)*$D354*IF(MONTH($B$2)=MONTH($H354),1,0)</f>
        <v>0</v>
      </c>
      <c r="M354" s="119">
        <f t="shared" ref="M354" si="1327">IF(AND(K354&lt;&gt;0,I354&lt;&gt;0),(IF(C354="B",1,-1))*(K354-J354)*I354-AK354*2,0)*$D354</f>
        <v>379.99999999999972</v>
      </c>
      <c r="N354" s="115">
        <f t="shared" ref="N354" si="1328">K354/$J354</f>
        <v>0.96000000000000008</v>
      </c>
      <c r="O354" s="156">
        <f t="shared" ref="O354" si="1329">J354*(1+$O$6*IF(C354="B",-1,1))</f>
        <v>118.75</v>
      </c>
      <c r="P354" s="160">
        <f t="shared" si="754"/>
        <v>9500</v>
      </c>
      <c r="Q354" s="160">
        <f t="shared" ref="Q354" si="1330">(W354-J354)*I354*IF(C354="B",1,-1)*IF(K354=0,1,0)</f>
        <v>0</v>
      </c>
      <c r="R354" s="153" t="e">
        <f t="shared" ca="1" si="1219"/>
        <v>#VALUE!</v>
      </c>
      <c r="S354" s="119">
        <f t="shared" ref="S354" si="1331">(1-$S$6)*J354</f>
        <v>9.4999999999999982</v>
      </c>
      <c r="T354" s="115" t="str">
        <f>VLOOKUP(TRIM($F354),Reference!B:C,2,0)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54" s="170">
        <f t="shared" ref="U354" ca="1" si="1332">AC354</f>
        <v>0</v>
      </c>
      <c r="V354" s="120" t="str">
        <f t="shared" si="1213"/>
        <v>NIFTY22JUL16500CE</v>
      </c>
      <c r="W354" s="158">
        <f>VLOOKUP($V354,Reference!BA:BD,4,0)</f>
        <v>31.75</v>
      </c>
      <c r="X354" s="160">
        <f t="shared" ca="1" si="1214"/>
        <v>0</v>
      </c>
      <c r="Y354" s="160">
        <f t="shared" ca="1" si="1215"/>
        <v>0</v>
      </c>
      <c r="Z354" s="160">
        <f t="shared" ca="1" si="1220"/>
        <v>0</v>
      </c>
      <c r="AA354" s="160">
        <f t="shared" ca="1" si="1216"/>
        <v>0</v>
      </c>
      <c r="AB354" s="160">
        <f t="shared" ca="1" si="1217"/>
        <v>0</v>
      </c>
      <c r="AC354" s="119">
        <f t="shared" ca="1" si="1218"/>
        <v>0</v>
      </c>
      <c r="AD354" s="115">
        <f t="shared" ref="AD354" ca="1" si="1333">(H354-TODAY())/365</f>
        <v>-1.1342465753424658</v>
      </c>
      <c r="AE354" s="115">
        <f t="shared" ref="AE354" si="1334">IF(I354&lt;&gt;0,20,0)</f>
        <v>20</v>
      </c>
      <c r="AF354" s="115"/>
      <c r="AG354" s="115"/>
      <c r="AH354" s="115">
        <f t="shared" si="755"/>
        <v>4.75</v>
      </c>
      <c r="AI354" s="115"/>
      <c r="AJ354" s="115">
        <f t="shared" si="756"/>
        <v>0</v>
      </c>
      <c r="AK354" s="115"/>
      <c r="AL354" s="142"/>
      <c r="AM354" s="153"/>
      <c r="AN354" s="153"/>
      <c r="AO354" s="153"/>
      <c r="AP354" s="153"/>
      <c r="AQ354" s="153"/>
      <c r="AR354" s="153"/>
      <c r="AS354" s="153"/>
      <c r="AT354" s="153"/>
      <c r="AU354" s="153"/>
      <c r="AV354" s="153"/>
      <c r="AW354" s="153"/>
      <c r="AX354" s="153"/>
      <c r="AY354" s="153"/>
      <c r="AZ354" s="153"/>
      <c r="BA354" s="153"/>
      <c r="BB354" s="153"/>
      <c r="BC354" s="153"/>
      <c r="BD354" s="153"/>
      <c r="BE354" s="153"/>
      <c r="BF354" s="153"/>
      <c r="BG354" s="153"/>
      <c r="BS354" s="13">
        <v>2</v>
      </c>
      <c r="BT354" s="123">
        <v>44491</v>
      </c>
      <c r="BU354" s="116" t="s">
        <v>8</v>
      </c>
      <c r="BV354" s="115" t="s">
        <v>482</v>
      </c>
      <c r="BW354" s="116" t="s">
        <v>502</v>
      </c>
      <c r="BX354" s="115">
        <v>18400</v>
      </c>
      <c r="BY354" s="115">
        <v>41.7</v>
      </c>
      <c r="BZ354" s="115">
        <v>47.945</v>
      </c>
      <c r="CA354" s="119">
        <v>-3216.6708800000001</v>
      </c>
      <c r="CB354" s="115">
        <v>1.1497601918465228</v>
      </c>
      <c r="CC354" s="115">
        <v>500</v>
      </c>
      <c r="CD354" s="115">
        <v>50</v>
      </c>
      <c r="CE354" s="119">
        <v>20850</v>
      </c>
    </row>
    <row r="355" spans="1:83" hidden="1">
      <c r="A355" s="13">
        <f t="shared" si="753"/>
        <v>348</v>
      </c>
      <c r="B355" s="123">
        <v>44740</v>
      </c>
      <c r="C355" s="116" t="s">
        <v>6</v>
      </c>
      <c r="D355" s="116">
        <v>1</v>
      </c>
      <c r="E355" s="115" t="s">
        <v>482</v>
      </c>
      <c r="F355" s="116" t="s">
        <v>390</v>
      </c>
      <c r="G355" s="115">
        <v>2300</v>
      </c>
      <c r="H355" s="117">
        <v>44770</v>
      </c>
      <c r="I355" s="115">
        <v>375</v>
      </c>
      <c r="J355" s="115">
        <v>105.05</v>
      </c>
      <c r="K355" s="115">
        <v>0</v>
      </c>
      <c r="L355" s="119">
        <f t="shared" ref="L355" ca="1" si="1335">IF(AND(K355&lt;&gt;0,I355&lt;&gt;0),(IF(C355="B",1,-1))*(K355-J355)*I355-AK355*2,0)*$D355*IF(MONTH($B$2)=MONTH($H355),1,0)</f>
        <v>0</v>
      </c>
      <c r="M355" s="119">
        <f t="shared" ref="M355" si="1336">IF(AND(K355&lt;&gt;0,I355&lt;&gt;0),(IF(C355="B",1,-1))*(K355-J355)*I355-AK355*2,0)*$D355</f>
        <v>0</v>
      </c>
      <c r="N355" s="115">
        <f t="shared" ref="N355" si="1337">K355/$J355</f>
        <v>0</v>
      </c>
      <c r="O355" s="156">
        <f t="shared" ref="O355" si="1338">J355*(1+$O$6*IF(C355="B",-1,1))</f>
        <v>78.787499999999994</v>
      </c>
      <c r="P355" s="160">
        <f t="shared" si="754"/>
        <v>39393.75</v>
      </c>
      <c r="Q355" s="160">
        <f t="shared" ref="Q355" si="1339">(W355-J355)*I355*IF(C355="B",1,-1)*IF(K355=0,1,0)</f>
        <v>4481.2500000000009</v>
      </c>
      <c r="R355" s="153" t="e">
        <f t="shared" ca="1" si="1219"/>
        <v>#VALUE!</v>
      </c>
      <c r="S355" s="119">
        <f t="shared" ref="S355" si="1340">(1-$S$6)*J355</f>
        <v>10.504999999999997</v>
      </c>
      <c r="T355" s="115" t="e">
        <f>VLOOKUP(TRIM($F355),Reference!B:C,2,0)</f>
        <v>#VALUE!</v>
      </c>
      <c r="U355" s="170">
        <f t="shared" ref="U355" ca="1" si="1341">AC355</f>
        <v>0</v>
      </c>
      <c r="V355" s="120" t="str">
        <f t="shared" si="1213"/>
        <v>SRF22JUL2300PE</v>
      </c>
      <c r="W355" s="158">
        <f>VLOOKUP($V355,Reference!BA:BD,4,0)</f>
        <v>117</v>
      </c>
      <c r="X355" s="160">
        <f t="shared" ca="1" si="1214"/>
        <v>0</v>
      </c>
      <c r="Y355" s="160">
        <f t="shared" ca="1" si="1215"/>
        <v>0</v>
      </c>
      <c r="Z355" s="160">
        <f t="shared" ca="1" si="1220"/>
        <v>0</v>
      </c>
      <c r="AA355" s="160">
        <f t="shared" ca="1" si="1216"/>
        <v>0</v>
      </c>
      <c r="AB355" s="160">
        <f t="shared" ca="1" si="1217"/>
        <v>0</v>
      </c>
      <c r="AC355" s="119">
        <f t="shared" ca="1" si="1218"/>
        <v>0</v>
      </c>
      <c r="AD355" s="115">
        <f t="shared" ref="AD355" ca="1" si="1342">(H355-TODAY())/365</f>
        <v>-1.1342465753424658</v>
      </c>
      <c r="AE355" s="115">
        <f t="shared" ref="AE355" si="1343">IF(I355&lt;&gt;0,20,0)</f>
        <v>20</v>
      </c>
      <c r="AF355" s="115"/>
      <c r="AG355" s="115"/>
      <c r="AH355" s="115">
        <f t="shared" si="755"/>
        <v>0</v>
      </c>
      <c r="AI355" s="115"/>
      <c r="AJ355" s="115">
        <f t="shared" si="756"/>
        <v>1.1818124999999999</v>
      </c>
      <c r="AK355" s="115"/>
      <c r="AL355" s="142"/>
      <c r="AM355" s="153"/>
      <c r="AN355" s="153"/>
      <c r="AO355" s="153"/>
      <c r="AP355" s="153"/>
      <c r="AQ355" s="153"/>
      <c r="AR355" s="153"/>
      <c r="AS355" s="153"/>
      <c r="AT355" s="153"/>
      <c r="AU355" s="153"/>
      <c r="AV355" s="153"/>
      <c r="AW355" s="153"/>
      <c r="AX355" s="153"/>
      <c r="AY355" s="153"/>
      <c r="AZ355" s="153"/>
      <c r="BA355" s="153"/>
      <c r="BB355" s="153"/>
      <c r="BC355" s="153"/>
      <c r="BD355" s="153"/>
      <c r="BE355" s="153"/>
      <c r="BF355" s="153"/>
      <c r="BG355" s="153"/>
      <c r="BS355" s="13">
        <v>2</v>
      </c>
      <c r="BT355" s="123">
        <v>44491</v>
      </c>
      <c r="BU355" s="116" t="s">
        <v>8</v>
      </c>
      <c r="BV355" s="115" t="s">
        <v>482</v>
      </c>
      <c r="BW355" s="116" t="s">
        <v>502</v>
      </c>
      <c r="BX355" s="115">
        <v>18400</v>
      </c>
      <c r="BY355" s="115">
        <v>41.7</v>
      </c>
      <c r="BZ355" s="115">
        <v>47.945</v>
      </c>
      <c r="CA355" s="119">
        <v>-3216.6708800000001</v>
      </c>
      <c r="CB355" s="115">
        <v>1.1497601918465228</v>
      </c>
      <c r="CC355" s="115">
        <v>500</v>
      </c>
      <c r="CD355" s="115">
        <v>50</v>
      </c>
      <c r="CE355" s="119">
        <v>20850</v>
      </c>
    </row>
    <row r="356" spans="1:83" hidden="1">
      <c r="A356" s="13">
        <f t="shared" si="753"/>
        <v>349</v>
      </c>
      <c r="B356" s="123">
        <v>44740</v>
      </c>
      <c r="C356" s="116" t="s">
        <v>8</v>
      </c>
      <c r="D356" s="116">
        <v>1</v>
      </c>
      <c r="E356" s="115" t="s">
        <v>481</v>
      </c>
      <c r="F356" s="116" t="s">
        <v>390</v>
      </c>
      <c r="G356" s="115">
        <v>2400</v>
      </c>
      <c r="H356" s="117">
        <v>44770</v>
      </c>
      <c r="I356" s="115">
        <v>375</v>
      </c>
      <c r="J356" s="115">
        <v>50</v>
      </c>
      <c r="K356" s="115">
        <v>0</v>
      </c>
      <c r="L356" s="119">
        <f t="shared" ref="L356" ca="1" si="1344">IF(AND(K356&lt;&gt;0,I356&lt;&gt;0),(IF(C356="B",1,-1))*(K356-J356)*I356-AK356*2,0)*$D356*IF(MONTH($B$2)=MONTH($H356),1,0)</f>
        <v>0</v>
      </c>
      <c r="M356" s="119">
        <f t="shared" ref="M356" si="1345">IF(AND(K356&lt;&gt;0,I356&lt;&gt;0),(IF(C356="B",1,-1))*(K356-J356)*I356-AK356*2,0)*$D356</f>
        <v>0</v>
      </c>
      <c r="N356" s="115">
        <f t="shared" ref="N356" si="1346">K356/$J356</f>
        <v>0</v>
      </c>
      <c r="O356" s="156">
        <f t="shared" ref="O356" si="1347">J356*(1+$O$6*IF(C356="B",-1,1))</f>
        <v>62.5</v>
      </c>
      <c r="P356" s="160">
        <f t="shared" si="754"/>
        <v>18750</v>
      </c>
      <c r="Q356" s="160">
        <f t="shared" ref="Q356" si="1348">(W356-J356)*I356*IF(C356="B",1,-1)*IF(K356=0,1,0)</f>
        <v>14456.249999999998</v>
      </c>
      <c r="R356" s="153" t="e">
        <f t="shared" ca="1" si="1219"/>
        <v>#VALUE!</v>
      </c>
      <c r="S356" s="119">
        <f t="shared" ref="S356" si="1349">(1-$S$6)*J356</f>
        <v>4.9999999999999991</v>
      </c>
      <c r="T356" s="115" t="e">
        <f>VLOOKUP(TRIM($F356),Reference!B:C,2,0)</f>
        <v>#VALUE!</v>
      </c>
      <c r="U356" s="170">
        <f t="shared" ref="U356" ca="1" si="1350">AC356</f>
        <v>0</v>
      </c>
      <c r="V356" s="120" t="str">
        <f t="shared" si="1213"/>
        <v>SRF22JUL2400CE</v>
      </c>
      <c r="W356" s="158">
        <f>VLOOKUP($V356,Reference!BA:BD,4,0)</f>
        <v>11.45</v>
      </c>
      <c r="X356" s="160">
        <f t="shared" ca="1" si="1214"/>
        <v>0</v>
      </c>
      <c r="Y356" s="160">
        <f t="shared" ca="1" si="1215"/>
        <v>0</v>
      </c>
      <c r="Z356" s="160">
        <f t="shared" ca="1" si="1220"/>
        <v>0</v>
      </c>
      <c r="AA356" s="160">
        <f t="shared" ca="1" si="1216"/>
        <v>0</v>
      </c>
      <c r="AB356" s="160">
        <f t="shared" ca="1" si="1217"/>
        <v>0</v>
      </c>
      <c r="AC356" s="119">
        <f t="shared" ca="1" si="1218"/>
        <v>0</v>
      </c>
      <c r="AD356" s="115">
        <f t="shared" ref="AD356" ca="1" si="1351">(H356-TODAY())/365</f>
        <v>-1.1342465753424658</v>
      </c>
      <c r="AE356" s="115">
        <f t="shared" ref="AE356" si="1352">IF(I356&lt;&gt;0,20,0)</f>
        <v>20</v>
      </c>
      <c r="AF356" s="115"/>
      <c r="AG356" s="115"/>
      <c r="AH356" s="115">
        <f t="shared" si="755"/>
        <v>9.375</v>
      </c>
      <c r="AI356" s="115"/>
      <c r="AJ356" s="115">
        <f t="shared" si="756"/>
        <v>0</v>
      </c>
      <c r="AK356" s="115"/>
      <c r="AL356" s="142"/>
      <c r="AM356" s="153"/>
      <c r="AN356" s="153"/>
      <c r="AO356" s="153"/>
      <c r="AP356" s="153"/>
      <c r="AQ356" s="153"/>
      <c r="AR356" s="153"/>
      <c r="AS356" s="153"/>
      <c r="AT356" s="153"/>
      <c r="AU356" s="153"/>
      <c r="AV356" s="153"/>
      <c r="AW356" s="153"/>
      <c r="AX356" s="153"/>
      <c r="AY356" s="153"/>
      <c r="AZ356" s="153"/>
      <c r="BA356" s="153"/>
      <c r="BB356" s="153"/>
      <c r="BC356" s="153"/>
      <c r="BD356" s="153"/>
      <c r="BE356" s="153"/>
      <c r="BF356" s="153"/>
      <c r="BG356" s="153"/>
      <c r="BS356" s="13">
        <v>2</v>
      </c>
      <c r="BT356" s="123">
        <v>44491</v>
      </c>
      <c r="BU356" s="116" t="s">
        <v>8</v>
      </c>
      <c r="BV356" s="115" t="s">
        <v>482</v>
      </c>
      <c r="BW356" s="116" t="s">
        <v>502</v>
      </c>
      <c r="BX356" s="115">
        <v>18400</v>
      </c>
      <c r="BY356" s="115">
        <v>41.7</v>
      </c>
      <c r="BZ356" s="115">
        <v>47.945</v>
      </c>
      <c r="CA356" s="119">
        <v>-3216.6708800000001</v>
      </c>
      <c r="CB356" s="115">
        <v>1.1497601918465228</v>
      </c>
      <c r="CC356" s="115">
        <v>500</v>
      </c>
      <c r="CD356" s="115">
        <v>50</v>
      </c>
      <c r="CE356" s="119">
        <v>20850</v>
      </c>
    </row>
    <row r="357" spans="1:83" hidden="1">
      <c r="A357" s="13">
        <f t="shared" si="753"/>
        <v>350</v>
      </c>
      <c r="B357" s="123">
        <v>44740</v>
      </c>
      <c r="C357" s="116" t="s">
        <v>8</v>
      </c>
      <c r="D357" s="116">
        <v>1</v>
      </c>
      <c r="E357" s="115" t="s">
        <v>481</v>
      </c>
      <c r="F357" s="116" t="s">
        <v>506</v>
      </c>
      <c r="G357" s="115">
        <v>35000</v>
      </c>
      <c r="H357" s="117">
        <v>44770</v>
      </c>
      <c r="I357" s="115">
        <v>25</v>
      </c>
      <c r="J357" s="115">
        <v>374.95</v>
      </c>
      <c r="K357" s="115">
        <v>0</v>
      </c>
      <c r="L357" s="119">
        <f t="shared" ref="L357" ca="1" si="1353">IF(AND(K357&lt;&gt;0,I357&lt;&gt;0),(IF(C357="B",1,-1))*(K357-J357)*I357-AK357*2,0)*$D357*IF(MONTH($B$2)=MONTH($H357),1,0)</f>
        <v>0</v>
      </c>
      <c r="M357" s="119">
        <f t="shared" ref="M357" si="1354">IF(AND(K357&lt;&gt;0,I357&lt;&gt;0),(IF(C357="B",1,-1))*(K357-J357)*I357-AK357*2,0)*$D357</f>
        <v>0</v>
      </c>
      <c r="N357" s="115">
        <f t="shared" ref="N357" si="1355">K357/$J357</f>
        <v>0</v>
      </c>
      <c r="O357" s="156">
        <f t="shared" ref="O357" si="1356">J357*(1+$O$6*IF(C357="B",-1,1))</f>
        <v>468.6875</v>
      </c>
      <c r="P357" s="160">
        <f t="shared" si="754"/>
        <v>9373.75</v>
      </c>
      <c r="Q357" s="160">
        <f t="shared" ref="Q357" si="1357">(W357-J357)*I357*IF(C357="B",1,-1)*IF(K357=0,1,0)</f>
        <v>-582.50000000000023</v>
      </c>
      <c r="R357" s="153" t="e">
        <f t="shared" ca="1" si="1219"/>
        <v>#VALUE!</v>
      </c>
      <c r="S357" s="119">
        <f t="shared" ref="S357" si="1358">(1-$S$6)*J357</f>
        <v>37.49499999999999</v>
      </c>
      <c r="T357" s="115" t="str">
        <f>VLOOKUP(TRIM($F357),Reference!B:C,2,0)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57" s="170">
        <f t="shared" ref="U357" ca="1" si="1359">AC357</f>
        <v>0</v>
      </c>
      <c r="V357" s="120" t="str">
        <f t="shared" si="1213"/>
        <v>BANKNIFTY22JUL35000CE</v>
      </c>
      <c r="W357" s="158">
        <f>VLOOKUP($V357,Reference!BA:BD,4,0)</f>
        <v>398.25</v>
      </c>
      <c r="X357" s="160">
        <f t="shared" ca="1" si="1214"/>
        <v>0</v>
      </c>
      <c r="Y357" s="160">
        <f t="shared" ca="1" si="1215"/>
        <v>0</v>
      </c>
      <c r="Z357" s="160">
        <f t="shared" ca="1" si="1220"/>
        <v>0</v>
      </c>
      <c r="AA357" s="160">
        <f t="shared" ca="1" si="1216"/>
        <v>0</v>
      </c>
      <c r="AB357" s="160">
        <f t="shared" ca="1" si="1217"/>
        <v>0</v>
      </c>
      <c r="AC357" s="119">
        <f t="shared" ca="1" si="1218"/>
        <v>0</v>
      </c>
      <c r="AD357" s="115">
        <f t="shared" ref="AD357" ca="1" si="1360">(H357-TODAY())/365</f>
        <v>-1.1342465753424658</v>
      </c>
      <c r="AE357" s="115">
        <f t="shared" ref="AE357" si="1361">IF(I357&lt;&gt;0,20,0)</f>
        <v>20</v>
      </c>
      <c r="AF357" s="115"/>
      <c r="AG357" s="115"/>
      <c r="AH357" s="115">
        <f t="shared" si="755"/>
        <v>4.6868749999999997</v>
      </c>
      <c r="AI357" s="115"/>
      <c r="AJ357" s="115">
        <f t="shared" si="756"/>
        <v>0</v>
      </c>
      <c r="AK357" s="115"/>
      <c r="AL357" s="142"/>
      <c r="AM357" s="153"/>
      <c r="AN357" s="153"/>
      <c r="AO357" s="153"/>
      <c r="AP357" s="153"/>
      <c r="AQ357" s="153"/>
      <c r="AR357" s="153"/>
      <c r="AS357" s="153"/>
      <c r="AT357" s="153"/>
      <c r="AU357" s="153"/>
      <c r="AV357" s="153"/>
      <c r="AW357" s="153"/>
      <c r="AX357" s="153"/>
      <c r="AY357" s="153"/>
      <c r="AZ357" s="153"/>
      <c r="BA357" s="153"/>
      <c r="BB357" s="153"/>
      <c r="BC357" s="153"/>
      <c r="BD357" s="153"/>
      <c r="BE357" s="153"/>
      <c r="BF357" s="153"/>
      <c r="BG357" s="153"/>
      <c r="BS357" s="13">
        <v>2</v>
      </c>
      <c r="BT357" s="123">
        <v>44491</v>
      </c>
      <c r="BU357" s="116" t="s">
        <v>8</v>
      </c>
      <c r="BV357" s="115" t="s">
        <v>482</v>
      </c>
      <c r="BW357" s="116" t="s">
        <v>502</v>
      </c>
      <c r="BX357" s="115">
        <v>18400</v>
      </c>
      <c r="BY357" s="115">
        <v>41.7</v>
      </c>
      <c r="BZ357" s="115">
        <v>47.945</v>
      </c>
      <c r="CA357" s="119">
        <v>-3216.6708800000001</v>
      </c>
      <c r="CB357" s="115">
        <v>1.1497601918465228</v>
      </c>
      <c r="CC357" s="115">
        <v>500</v>
      </c>
      <c r="CD357" s="115">
        <v>50</v>
      </c>
      <c r="CE357" s="119">
        <v>20850</v>
      </c>
    </row>
    <row r="358" spans="1:83" hidden="1">
      <c r="A358" s="13">
        <f t="shared" si="753"/>
        <v>351</v>
      </c>
      <c r="B358" s="123">
        <v>44740</v>
      </c>
      <c r="C358" s="116" t="s">
        <v>8</v>
      </c>
      <c r="D358" s="116">
        <v>1</v>
      </c>
      <c r="E358" s="115" t="s">
        <v>481</v>
      </c>
      <c r="F358" s="116" t="s">
        <v>506</v>
      </c>
      <c r="G358" s="115">
        <v>35000</v>
      </c>
      <c r="H358" s="117">
        <v>44770</v>
      </c>
      <c r="I358" s="115">
        <v>25</v>
      </c>
      <c r="J358" s="115">
        <v>383</v>
      </c>
      <c r="K358" s="115">
        <v>0</v>
      </c>
      <c r="L358" s="119">
        <f t="shared" ref="L358" ca="1" si="1362">IF(AND(K358&lt;&gt;0,I358&lt;&gt;0),(IF(C358="B",1,-1))*(K358-J358)*I358-AK358*2,0)*$D358*IF(MONTH($B$2)=MONTH($H358),1,0)</f>
        <v>0</v>
      </c>
      <c r="M358" s="119">
        <f t="shared" ref="M358" si="1363">IF(AND(K358&lt;&gt;0,I358&lt;&gt;0),(IF(C358="B",1,-1))*(K358-J358)*I358-AK358*2,0)*$D358</f>
        <v>0</v>
      </c>
      <c r="N358" s="115">
        <f t="shared" ref="N358" si="1364">K358/$J358</f>
        <v>0</v>
      </c>
      <c r="O358" s="156">
        <f t="shared" ref="O358" si="1365">J358*(1+$O$6*IF(C358="B",-1,1))</f>
        <v>478.75</v>
      </c>
      <c r="P358" s="160">
        <f t="shared" si="754"/>
        <v>9575</v>
      </c>
      <c r="Q358" s="160">
        <f t="shared" ref="Q358" si="1366">(W358-J358)*I358*IF(C358="B",1,-1)*IF(K358=0,1,0)</f>
        <v>-381.25</v>
      </c>
      <c r="R358" s="153" t="e">
        <f t="shared" ca="1" si="1219"/>
        <v>#VALUE!</v>
      </c>
      <c r="S358" s="119">
        <f t="shared" ref="S358" si="1367">(1-$S$6)*J358</f>
        <v>38.29999999999999</v>
      </c>
      <c r="T358" s="115" t="str">
        <f>VLOOKUP(TRIM($F358),Reference!B:C,2,0)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58" s="170">
        <f t="shared" ref="U358" ca="1" si="1368">AC358</f>
        <v>0</v>
      </c>
      <c r="V358" s="120" t="str">
        <f t="shared" si="1213"/>
        <v>BANKNIFTY22JUL35000CE</v>
      </c>
      <c r="W358" s="158">
        <f>VLOOKUP($V358,Reference!BA:BD,4,0)</f>
        <v>398.25</v>
      </c>
      <c r="X358" s="160">
        <f t="shared" ca="1" si="1214"/>
        <v>0</v>
      </c>
      <c r="Y358" s="160">
        <f t="shared" ca="1" si="1215"/>
        <v>0</v>
      </c>
      <c r="Z358" s="160">
        <f t="shared" ca="1" si="1220"/>
        <v>0</v>
      </c>
      <c r="AA358" s="160">
        <f t="shared" ca="1" si="1216"/>
        <v>0</v>
      </c>
      <c r="AB358" s="160">
        <f t="shared" ca="1" si="1217"/>
        <v>0</v>
      </c>
      <c r="AC358" s="119">
        <f t="shared" ca="1" si="1218"/>
        <v>0</v>
      </c>
      <c r="AD358" s="115">
        <f t="shared" ref="AD358" ca="1" si="1369">(H358-TODAY())/365</f>
        <v>-1.1342465753424658</v>
      </c>
      <c r="AE358" s="115">
        <f t="shared" ref="AE358" si="1370">IF(I358&lt;&gt;0,20,0)</f>
        <v>20</v>
      </c>
      <c r="AF358" s="115"/>
      <c r="AG358" s="115"/>
      <c r="AH358" s="115">
        <f t="shared" si="755"/>
        <v>4.7875000000000005</v>
      </c>
      <c r="AI358" s="115"/>
      <c r="AJ358" s="115">
        <f t="shared" si="756"/>
        <v>0</v>
      </c>
      <c r="AK358" s="115"/>
      <c r="AL358" s="142"/>
      <c r="AM358" s="153"/>
      <c r="AN358" s="153"/>
      <c r="AO358" s="153"/>
      <c r="AP358" s="153"/>
      <c r="AQ358" s="153"/>
      <c r="AR358" s="153"/>
      <c r="AS358" s="153"/>
      <c r="AT358" s="153"/>
      <c r="AU358" s="153"/>
      <c r="AV358" s="153"/>
      <c r="AW358" s="153"/>
      <c r="AX358" s="153"/>
      <c r="AY358" s="153"/>
      <c r="AZ358" s="153"/>
      <c r="BA358" s="153"/>
      <c r="BB358" s="153"/>
      <c r="BC358" s="153"/>
      <c r="BD358" s="153"/>
      <c r="BE358" s="153"/>
      <c r="BF358" s="153"/>
      <c r="BG358" s="153"/>
      <c r="BS358" s="13">
        <v>2</v>
      </c>
      <c r="BT358" s="123">
        <v>44491</v>
      </c>
      <c r="BU358" s="116" t="s">
        <v>8</v>
      </c>
      <c r="BV358" s="115" t="s">
        <v>482</v>
      </c>
      <c r="BW358" s="116" t="s">
        <v>502</v>
      </c>
      <c r="BX358" s="115">
        <v>18400</v>
      </c>
      <c r="BY358" s="115">
        <v>41.7</v>
      </c>
      <c r="BZ358" s="115">
        <v>47.945</v>
      </c>
      <c r="CA358" s="119">
        <v>-3216.6708800000001</v>
      </c>
      <c r="CB358" s="115">
        <v>1.1497601918465228</v>
      </c>
      <c r="CC358" s="115">
        <v>500</v>
      </c>
      <c r="CD358" s="115">
        <v>50</v>
      </c>
      <c r="CE358" s="119">
        <v>20850</v>
      </c>
    </row>
    <row r="359" spans="1:83" hidden="1">
      <c r="A359" s="13">
        <f t="shared" si="753"/>
        <v>352</v>
      </c>
      <c r="B359" s="123">
        <v>44740</v>
      </c>
      <c r="C359" s="116" t="s">
        <v>8</v>
      </c>
      <c r="D359" s="116">
        <v>1</v>
      </c>
      <c r="E359" s="115" t="s">
        <v>481</v>
      </c>
      <c r="F359" s="116" t="s">
        <v>399</v>
      </c>
      <c r="G359" s="115">
        <v>1640</v>
      </c>
      <c r="H359" s="117">
        <v>44770</v>
      </c>
      <c r="I359" s="115">
        <v>300</v>
      </c>
      <c r="J359" s="115">
        <v>10.6</v>
      </c>
      <c r="K359" s="115">
        <v>0</v>
      </c>
      <c r="L359" s="119">
        <f t="shared" ref="L359:L360" ca="1" si="1371">IF(AND(K359&lt;&gt;0,I359&lt;&gt;0),(IF(C359="B",1,-1))*(K359-J359)*I359-AK359*2,0)*$D359*IF(MONTH($B$2)=MONTH($H359),1,0)</f>
        <v>0</v>
      </c>
      <c r="M359" s="119">
        <f t="shared" ref="M359:M360" si="1372">IF(AND(K359&lt;&gt;0,I359&lt;&gt;0),(IF(C359="B",1,-1))*(K359-J359)*I359-AK359*2,0)*$D359</f>
        <v>0</v>
      </c>
      <c r="N359" s="115">
        <f t="shared" ref="N359:N360" si="1373">K359/$J359</f>
        <v>0</v>
      </c>
      <c r="O359" s="156">
        <f t="shared" ref="O359:O360" si="1374">J359*(1+$O$6*IF(C359="B",-1,1))</f>
        <v>13.25</v>
      </c>
      <c r="P359" s="160">
        <f t="shared" si="754"/>
        <v>3180</v>
      </c>
      <c r="Q359" s="160">
        <f t="shared" ref="Q359:Q360" si="1375">(W359-J359)*I359*IF(C359="B",1,-1)*IF(K359=0,1,0)</f>
        <v>-4020</v>
      </c>
      <c r="R359" s="153" t="e">
        <f t="shared" ca="1" si="1219"/>
        <v>#VALUE!</v>
      </c>
      <c r="S359" s="119">
        <f t="shared" ref="S359:S360" si="1376">(1-$S$6)*J359</f>
        <v>1.0599999999999998</v>
      </c>
      <c r="T359" s="115" t="e">
        <f>VLOOKUP(TRIM($F359),Reference!B:C,2,0)</f>
        <v>#VALUE!</v>
      </c>
      <c r="U359" s="170">
        <f t="shared" ref="U359:U360" ca="1" si="1377">AC359</f>
        <v>0</v>
      </c>
      <c r="V359" s="120" t="str">
        <f t="shared" si="1213"/>
        <v>LT22JUL1640CE</v>
      </c>
      <c r="W359" s="158">
        <f>VLOOKUP($V359,Reference!BA:BD,4,0)</f>
        <v>24</v>
      </c>
      <c r="X359" s="160">
        <f t="shared" ca="1" si="1214"/>
        <v>0</v>
      </c>
      <c r="Y359" s="160">
        <f t="shared" ca="1" si="1215"/>
        <v>0</v>
      </c>
      <c r="Z359" s="160">
        <f t="shared" ca="1" si="1220"/>
        <v>0</v>
      </c>
      <c r="AA359" s="160">
        <f t="shared" ca="1" si="1216"/>
        <v>0</v>
      </c>
      <c r="AB359" s="160">
        <f t="shared" ca="1" si="1217"/>
        <v>0</v>
      </c>
      <c r="AC359" s="119">
        <f t="shared" ca="1" si="1218"/>
        <v>0</v>
      </c>
      <c r="AD359" s="115">
        <f t="shared" ref="AD359:AD360" ca="1" si="1378">(H359-TODAY())/365</f>
        <v>-1.1342465753424658</v>
      </c>
      <c r="AE359" s="115">
        <f t="shared" ref="AE359:AE360" si="1379">IF(I359&lt;&gt;0,20,0)</f>
        <v>20</v>
      </c>
      <c r="AF359" s="115"/>
      <c r="AG359" s="115"/>
      <c r="AH359" s="115">
        <f t="shared" si="755"/>
        <v>1.59</v>
      </c>
      <c r="AI359" s="115"/>
      <c r="AJ359" s="115">
        <f t="shared" si="756"/>
        <v>0</v>
      </c>
      <c r="AK359" s="115"/>
      <c r="AL359" s="142"/>
      <c r="AM359" s="153"/>
      <c r="AN359" s="153"/>
      <c r="AO359" s="153"/>
      <c r="AP359" s="153"/>
      <c r="AQ359" s="153"/>
      <c r="AR359" s="153"/>
      <c r="AS359" s="153"/>
      <c r="AT359" s="153"/>
      <c r="AU359" s="153"/>
      <c r="AV359" s="153"/>
      <c r="AW359" s="153"/>
      <c r="AX359" s="153"/>
      <c r="AY359" s="153"/>
      <c r="AZ359" s="153"/>
      <c r="BA359" s="153"/>
      <c r="BB359" s="153"/>
      <c r="BC359" s="153"/>
      <c r="BD359" s="153"/>
      <c r="BE359" s="153"/>
      <c r="BF359" s="153"/>
      <c r="BG359" s="153"/>
      <c r="BS359" s="13">
        <v>2</v>
      </c>
      <c r="BT359" s="123">
        <v>44491</v>
      </c>
      <c r="BU359" s="116" t="s">
        <v>8</v>
      </c>
      <c r="BV359" s="115" t="s">
        <v>482</v>
      </c>
      <c r="BW359" s="116" t="s">
        <v>502</v>
      </c>
      <c r="BX359" s="115">
        <v>18400</v>
      </c>
      <c r="BY359" s="115">
        <v>41.7</v>
      </c>
      <c r="BZ359" s="115">
        <v>47.945</v>
      </c>
      <c r="CA359" s="119">
        <v>-3216.6708800000001</v>
      </c>
      <c r="CB359" s="115">
        <v>1.1497601918465228</v>
      </c>
      <c r="CC359" s="115">
        <v>500</v>
      </c>
      <c r="CD359" s="115">
        <v>50</v>
      </c>
      <c r="CE359" s="119">
        <v>20850</v>
      </c>
    </row>
    <row r="360" spans="1:83" hidden="1">
      <c r="A360" s="13">
        <f t="shared" si="753"/>
        <v>353</v>
      </c>
      <c r="B360" s="123">
        <v>44740</v>
      </c>
      <c r="C360" s="116" t="s">
        <v>8</v>
      </c>
      <c r="D360" s="116">
        <v>1</v>
      </c>
      <c r="E360" s="115" t="s">
        <v>481</v>
      </c>
      <c r="F360" s="116" t="s">
        <v>130</v>
      </c>
      <c r="G360" s="115">
        <v>230</v>
      </c>
      <c r="H360" s="117">
        <v>44770</v>
      </c>
      <c r="I360" s="115">
        <v>3375</v>
      </c>
      <c r="J360" s="115">
        <v>2.7</v>
      </c>
      <c r="K360" s="115">
        <v>0</v>
      </c>
      <c r="L360" s="119">
        <f t="shared" ca="1" si="1371"/>
        <v>0</v>
      </c>
      <c r="M360" s="119">
        <f t="shared" si="1372"/>
        <v>0</v>
      </c>
      <c r="N360" s="115">
        <f t="shared" si="1373"/>
        <v>0</v>
      </c>
      <c r="O360" s="156">
        <f t="shared" si="1374"/>
        <v>3.375</v>
      </c>
      <c r="P360" s="160">
        <f t="shared" si="754"/>
        <v>9112.5</v>
      </c>
      <c r="Q360" s="160">
        <f t="shared" si="1375"/>
        <v>-2699.9999999999995</v>
      </c>
      <c r="R360" s="153" t="e">
        <f t="shared" ca="1" si="1219"/>
        <v>#VALUE!</v>
      </c>
      <c r="S360" s="119">
        <f t="shared" si="1376"/>
        <v>0.26999999999999996</v>
      </c>
      <c r="T360" s="115" t="e">
        <f>VLOOKUP(TRIM($F360),Reference!B:C,2,0)</f>
        <v>#VALUE!</v>
      </c>
      <c r="U360" s="170">
        <f t="shared" ca="1" si="1377"/>
        <v>0</v>
      </c>
      <c r="V360" s="120" t="str">
        <f t="shared" si="1213"/>
        <v>TATAPOWER22JUL230CE</v>
      </c>
      <c r="W360" s="158">
        <f>VLOOKUP($V360,Reference!BA:BD,4,0)</f>
        <v>3.5</v>
      </c>
      <c r="X360" s="160">
        <f t="shared" ca="1" si="1214"/>
        <v>0</v>
      </c>
      <c r="Y360" s="160">
        <f t="shared" ca="1" si="1215"/>
        <v>0</v>
      </c>
      <c r="Z360" s="160">
        <f t="shared" ca="1" si="1220"/>
        <v>0</v>
      </c>
      <c r="AA360" s="160">
        <f t="shared" ca="1" si="1216"/>
        <v>0</v>
      </c>
      <c r="AB360" s="160">
        <f t="shared" ca="1" si="1217"/>
        <v>0</v>
      </c>
      <c r="AC360" s="119">
        <f t="shared" ca="1" si="1218"/>
        <v>0</v>
      </c>
      <c r="AD360" s="115">
        <f t="shared" ca="1" si="1378"/>
        <v>-1.1342465753424658</v>
      </c>
      <c r="AE360" s="115">
        <f t="shared" si="1379"/>
        <v>20</v>
      </c>
      <c r="AF360" s="115"/>
      <c r="AG360" s="115"/>
      <c r="AH360" s="115">
        <f t="shared" si="755"/>
        <v>4.5562500000000004</v>
      </c>
      <c r="AI360" s="115"/>
      <c r="AJ360" s="115">
        <f t="shared" si="756"/>
        <v>0</v>
      </c>
      <c r="AK360" s="115"/>
      <c r="AL360" s="142"/>
      <c r="AM360" s="153"/>
      <c r="AN360" s="153"/>
      <c r="AO360" s="153"/>
      <c r="AP360" s="153"/>
      <c r="AQ360" s="153"/>
      <c r="AR360" s="153"/>
      <c r="AS360" s="153"/>
      <c r="AT360" s="153"/>
      <c r="AU360" s="153"/>
      <c r="AV360" s="153"/>
      <c r="AW360" s="153"/>
      <c r="AX360" s="153"/>
      <c r="AY360" s="153"/>
      <c r="AZ360" s="153"/>
      <c r="BA360" s="153"/>
      <c r="BB360" s="153"/>
      <c r="BC360" s="153"/>
      <c r="BD360" s="153"/>
      <c r="BE360" s="153"/>
      <c r="BF360" s="153"/>
      <c r="BG360" s="153"/>
      <c r="BS360" s="13">
        <v>2</v>
      </c>
      <c r="BT360" s="123">
        <v>44491</v>
      </c>
      <c r="BU360" s="116" t="s">
        <v>8</v>
      </c>
      <c r="BV360" s="115" t="s">
        <v>482</v>
      </c>
      <c r="BW360" s="116" t="s">
        <v>502</v>
      </c>
      <c r="BX360" s="115">
        <v>18400</v>
      </c>
      <c r="BY360" s="115">
        <v>41.7</v>
      </c>
      <c r="BZ360" s="115">
        <v>47.945</v>
      </c>
      <c r="CA360" s="119">
        <v>-3216.6708800000001</v>
      </c>
      <c r="CB360" s="115">
        <v>1.1497601918465228</v>
      </c>
      <c r="CC360" s="115">
        <v>500</v>
      </c>
      <c r="CD360" s="115">
        <v>50</v>
      </c>
      <c r="CE360" s="119">
        <v>20850</v>
      </c>
    </row>
    <row r="361" spans="1:83" hidden="1">
      <c r="A361" s="13">
        <f t="shared" si="753"/>
        <v>354</v>
      </c>
      <c r="B361" s="123">
        <v>44740</v>
      </c>
      <c r="C361" s="116" t="s">
        <v>8</v>
      </c>
      <c r="D361" s="116">
        <v>1</v>
      </c>
      <c r="E361" s="115" t="s">
        <v>481</v>
      </c>
      <c r="F361" s="116" t="s">
        <v>130</v>
      </c>
      <c r="G361" s="115">
        <v>230</v>
      </c>
      <c r="H361" s="117">
        <v>44770</v>
      </c>
      <c r="I361" s="115">
        <v>3375</v>
      </c>
      <c r="J361" s="115">
        <v>2.7</v>
      </c>
      <c r="K361" s="115">
        <v>0</v>
      </c>
      <c r="L361" s="119">
        <f t="shared" ref="L361" ca="1" si="1380">IF(AND(K361&lt;&gt;0,I361&lt;&gt;0),(IF(C361="B",1,-1))*(K361-J361)*I361-AK361*2,0)*$D361*IF(MONTH($B$2)=MONTH($H361),1,0)</f>
        <v>0</v>
      </c>
      <c r="M361" s="119">
        <f t="shared" ref="M361" si="1381">IF(AND(K361&lt;&gt;0,I361&lt;&gt;0),(IF(C361="B",1,-1))*(K361-J361)*I361-AK361*2,0)*$D361</f>
        <v>0</v>
      </c>
      <c r="N361" s="115">
        <f t="shared" ref="N361" si="1382">K361/$J361</f>
        <v>0</v>
      </c>
      <c r="O361" s="156">
        <f t="shared" ref="O361" si="1383">J361*(1+$O$6*IF(C361="B",-1,1))</f>
        <v>3.375</v>
      </c>
      <c r="P361" s="160">
        <f t="shared" si="754"/>
        <v>9112.5</v>
      </c>
      <c r="Q361" s="160">
        <f t="shared" ref="Q361" si="1384">(W361-J361)*I361*IF(C361="B",1,-1)*IF(K361=0,1,0)</f>
        <v>-2699.9999999999995</v>
      </c>
      <c r="R361" s="153" t="e">
        <f t="shared" ca="1" si="1219"/>
        <v>#VALUE!</v>
      </c>
      <c r="S361" s="119">
        <f t="shared" ref="S361" si="1385">(1-$S$6)*J361</f>
        <v>0.26999999999999996</v>
      </c>
      <c r="T361" s="115" t="e">
        <f>VLOOKUP(TRIM($F361),Reference!B:C,2,0)</f>
        <v>#VALUE!</v>
      </c>
      <c r="U361" s="170">
        <f t="shared" ref="U361" ca="1" si="1386">AC361</f>
        <v>0</v>
      </c>
      <c r="V361" s="120" t="str">
        <f t="shared" si="1213"/>
        <v>TATAPOWER22JUL230CE</v>
      </c>
      <c r="W361" s="158">
        <f>VLOOKUP($V361,Reference!BA:BD,4,0)</f>
        <v>3.5</v>
      </c>
      <c r="X361" s="160">
        <f t="shared" ca="1" si="1214"/>
        <v>0</v>
      </c>
      <c r="Y361" s="160">
        <f t="shared" ca="1" si="1215"/>
        <v>0</v>
      </c>
      <c r="Z361" s="160">
        <f t="shared" ca="1" si="1220"/>
        <v>0</v>
      </c>
      <c r="AA361" s="160">
        <f t="shared" ca="1" si="1216"/>
        <v>0</v>
      </c>
      <c r="AB361" s="160">
        <f t="shared" ca="1" si="1217"/>
        <v>0</v>
      </c>
      <c r="AC361" s="119">
        <f t="shared" ca="1" si="1218"/>
        <v>0</v>
      </c>
      <c r="AD361" s="115">
        <f t="shared" ref="AD361" ca="1" si="1387">(H361-TODAY())/365</f>
        <v>-1.1342465753424658</v>
      </c>
      <c r="AE361" s="115">
        <f t="shared" ref="AE361" si="1388">IF(I361&lt;&gt;0,20,0)</f>
        <v>20</v>
      </c>
      <c r="AF361" s="115"/>
      <c r="AG361" s="115"/>
      <c r="AH361" s="115">
        <f t="shared" si="755"/>
        <v>4.5562500000000004</v>
      </c>
      <c r="AI361" s="115"/>
      <c r="AJ361" s="115">
        <f t="shared" si="756"/>
        <v>0</v>
      </c>
      <c r="AK361" s="115"/>
      <c r="AL361" s="142"/>
      <c r="AM361" s="153"/>
      <c r="AN361" s="153"/>
      <c r="AO361" s="153"/>
      <c r="AP361" s="153"/>
      <c r="AQ361" s="153"/>
      <c r="AR361" s="153"/>
      <c r="AS361" s="153"/>
      <c r="AT361" s="153"/>
      <c r="AU361" s="153"/>
      <c r="AV361" s="153"/>
      <c r="AW361" s="153"/>
      <c r="AX361" s="153"/>
      <c r="AY361" s="153"/>
      <c r="AZ361" s="153"/>
      <c r="BA361" s="153"/>
      <c r="BB361" s="153"/>
      <c r="BC361" s="153"/>
      <c r="BD361" s="153"/>
      <c r="BE361" s="153"/>
      <c r="BF361" s="153"/>
      <c r="BG361" s="153"/>
      <c r="BS361" s="13">
        <v>2</v>
      </c>
      <c r="BT361" s="123">
        <v>44491</v>
      </c>
      <c r="BU361" s="116" t="s">
        <v>8</v>
      </c>
      <c r="BV361" s="115" t="s">
        <v>482</v>
      </c>
      <c r="BW361" s="116" t="s">
        <v>502</v>
      </c>
      <c r="BX361" s="115">
        <v>18400</v>
      </c>
      <c r="BY361" s="115">
        <v>41.7</v>
      </c>
      <c r="BZ361" s="115">
        <v>47.945</v>
      </c>
      <c r="CA361" s="119">
        <v>-3216.6708800000001</v>
      </c>
      <c r="CB361" s="115">
        <v>1.1497601918465228</v>
      </c>
      <c r="CC361" s="115">
        <v>500</v>
      </c>
      <c r="CD361" s="115">
        <v>50</v>
      </c>
      <c r="CE361" s="119">
        <v>20850</v>
      </c>
    </row>
    <row r="362" spans="1:83" hidden="1">
      <c r="A362" s="13">
        <f t="shared" si="753"/>
        <v>355</v>
      </c>
      <c r="B362" s="123">
        <v>44740</v>
      </c>
      <c r="C362" s="116" t="s">
        <v>6</v>
      </c>
      <c r="D362" s="116">
        <v>1</v>
      </c>
      <c r="E362" s="115" t="s">
        <v>482</v>
      </c>
      <c r="F362" s="116" t="s">
        <v>130</v>
      </c>
      <c r="G362" s="115">
        <v>210</v>
      </c>
      <c r="H362" s="117">
        <v>44770</v>
      </c>
      <c r="I362" s="115">
        <v>3375</v>
      </c>
      <c r="J362" s="115">
        <v>10.3</v>
      </c>
      <c r="K362" s="115">
        <v>0</v>
      </c>
      <c r="L362" s="119">
        <f t="shared" ref="L362:L364" ca="1" si="1389">IF(AND(K362&lt;&gt;0,I362&lt;&gt;0),(IF(C362="B",1,-1))*(K362-J362)*I362-AK362*2,0)*$D362*IF(MONTH($B$2)=MONTH($H362),1,0)</f>
        <v>0</v>
      </c>
      <c r="M362" s="119">
        <f t="shared" ref="M362:M364" si="1390">IF(AND(K362&lt;&gt;0,I362&lt;&gt;0),(IF(C362="B",1,-1))*(K362-J362)*I362-AK362*2,0)*$D362</f>
        <v>0</v>
      </c>
      <c r="N362" s="115">
        <f t="shared" ref="N362:N364" si="1391">K362/$J362</f>
        <v>0</v>
      </c>
      <c r="O362" s="156">
        <f t="shared" ref="O362:O364" si="1392">J362*(1+$O$6*IF(C362="B",-1,1))</f>
        <v>7.7250000000000005</v>
      </c>
      <c r="P362" s="160">
        <f t="shared" si="754"/>
        <v>34762.5</v>
      </c>
      <c r="Q362" s="160">
        <f t="shared" ref="Q362:Q364" si="1393">(W362-J362)*I362*IF(C362="B",1,-1)*IF(K362=0,1,0)</f>
        <v>-27337.500000000004</v>
      </c>
      <c r="R362" s="153" t="e">
        <f t="shared" ca="1" si="1219"/>
        <v>#VALUE!</v>
      </c>
      <c r="S362" s="119">
        <f t="shared" ref="S362:S364" si="1394">(1-$S$6)*J362</f>
        <v>1.0299999999999998</v>
      </c>
      <c r="T362" s="115" t="e">
        <f>VLOOKUP(TRIM($F362),Reference!B:C,2,0)</f>
        <v>#VALUE!</v>
      </c>
      <c r="U362" s="170">
        <f t="shared" ref="U362:U364" ca="1" si="1395">AC362</f>
        <v>0</v>
      </c>
      <c r="V362" s="120" t="str">
        <f t="shared" si="1213"/>
        <v>TATAPOWER22JUL210PE</v>
      </c>
      <c r="W362" s="158">
        <f>VLOOKUP($V362,Reference!BA:BD,4,0)</f>
        <v>2.2000000000000002</v>
      </c>
      <c r="X362" s="160">
        <f t="shared" ca="1" si="1214"/>
        <v>0</v>
      </c>
      <c r="Y362" s="160">
        <f t="shared" ca="1" si="1215"/>
        <v>0</v>
      </c>
      <c r="Z362" s="160">
        <f t="shared" ca="1" si="1220"/>
        <v>0</v>
      </c>
      <c r="AA362" s="160">
        <f t="shared" ca="1" si="1216"/>
        <v>0</v>
      </c>
      <c r="AB362" s="160">
        <f t="shared" ca="1" si="1217"/>
        <v>0</v>
      </c>
      <c r="AC362" s="119">
        <f t="shared" ca="1" si="1218"/>
        <v>0</v>
      </c>
      <c r="AD362" s="115">
        <f t="shared" ref="AD362:AD364" ca="1" si="1396">(H362-TODAY())/365</f>
        <v>-1.1342465753424658</v>
      </c>
      <c r="AE362" s="115">
        <f t="shared" ref="AE362:AE364" si="1397">IF(I362&lt;&gt;0,20,0)</f>
        <v>20</v>
      </c>
      <c r="AF362" s="115"/>
      <c r="AG362" s="115"/>
      <c r="AH362" s="115">
        <f t="shared" si="755"/>
        <v>0</v>
      </c>
      <c r="AI362" s="115"/>
      <c r="AJ362" s="115">
        <f t="shared" si="756"/>
        <v>1.042875</v>
      </c>
      <c r="AK362" s="115"/>
      <c r="AL362" s="142"/>
      <c r="AM362" s="153"/>
      <c r="AN362" s="153"/>
      <c r="AO362" s="153"/>
      <c r="AP362" s="153"/>
      <c r="AQ362" s="153"/>
      <c r="AR362" s="153"/>
      <c r="AS362" s="153"/>
      <c r="AT362" s="153"/>
      <c r="AU362" s="153"/>
      <c r="AV362" s="153"/>
      <c r="AW362" s="153"/>
      <c r="AX362" s="153"/>
      <c r="AY362" s="153"/>
      <c r="AZ362" s="153"/>
      <c r="BA362" s="153"/>
      <c r="BB362" s="153"/>
      <c r="BC362" s="153"/>
      <c r="BD362" s="153"/>
      <c r="BE362" s="153"/>
      <c r="BF362" s="153"/>
      <c r="BG362" s="153"/>
      <c r="BS362" s="13">
        <v>2</v>
      </c>
      <c r="BT362" s="123">
        <v>44491</v>
      </c>
      <c r="BU362" s="116" t="s">
        <v>8</v>
      </c>
      <c r="BV362" s="115" t="s">
        <v>482</v>
      </c>
      <c r="BW362" s="116" t="s">
        <v>502</v>
      </c>
      <c r="BX362" s="115">
        <v>18400</v>
      </c>
      <c r="BY362" s="115">
        <v>41.7</v>
      </c>
      <c r="BZ362" s="115">
        <v>47.945</v>
      </c>
      <c r="CA362" s="119">
        <v>-3216.6708800000001</v>
      </c>
      <c r="CB362" s="115">
        <v>1.1497601918465228</v>
      </c>
      <c r="CC362" s="115">
        <v>500</v>
      </c>
      <c r="CD362" s="115">
        <v>50</v>
      </c>
      <c r="CE362" s="119">
        <v>20850</v>
      </c>
    </row>
    <row r="363" spans="1:83" hidden="1">
      <c r="A363" s="13">
        <f t="shared" si="753"/>
        <v>356</v>
      </c>
      <c r="B363" s="123">
        <v>44740</v>
      </c>
      <c r="C363" s="116" t="s">
        <v>8</v>
      </c>
      <c r="D363" s="116">
        <v>1</v>
      </c>
      <c r="E363" s="115" t="s">
        <v>481</v>
      </c>
      <c r="F363" s="116" t="s">
        <v>506</v>
      </c>
      <c r="G363" s="115">
        <v>36000</v>
      </c>
      <c r="H363" s="117">
        <v>44770</v>
      </c>
      <c r="I363" s="115">
        <v>25</v>
      </c>
      <c r="J363" s="115">
        <v>171.45</v>
      </c>
      <c r="K363" s="115">
        <v>0</v>
      </c>
      <c r="L363" s="119">
        <f t="shared" ca="1" si="1389"/>
        <v>0</v>
      </c>
      <c r="M363" s="119">
        <f t="shared" si="1390"/>
        <v>0</v>
      </c>
      <c r="N363" s="115">
        <f t="shared" si="1391"/>
        <v>0</v>
      </c>
      <c r="O363" s="156">
        <f t="shared" si="1392"/>
        <v>214.3125</v>
      </c>
      <c r="P363" s="160">
        <f t="shared" si="754"/>
        <v>4286.25</v>
      </c>
      <c r="Q363" s="160">
        <f t="shared" si="1393"/>
        <v>1648.7499999999998</v>
      </c>
      <c r="R363" s="153" t="e">
        <f t="shared" ca="1" si="1219"/>
        <v>#VALUE!</v>
      </c>
      <c r="S363" s="119">
        <f t="shared" si="1394"/>
        <v>17.144999999999996</v>
      </c>
      <c r="T363" s="115" t="str">
        <f>VLOOKUP(TRIM($F363),Reference!B:C,2,0)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63" s="170">
        <f t="shared" ca="1" si="1395"/>
        <v>0</v>
      </c>
      <c r="V363" s="120" t="str">
        <f t="shared" si="1213"/>
        <v>BANKNIFTY22JUL36000CE</v>
      </c>
      <c r="W363" s="158">
        <f>VLOOKUP($V363,Reference!BA:BD,4,0)</f>
        <v>105.5</v>
      </c>
      <c r="X363" s="160">
        <f t="shared" ca="1" si="1214"/>
        <v>0</v>
      </c>
      <c r="Y363" s="160">
        <f t="shared" ca="1" si="1215"/>
        <v>0</v>
      </c>
      <c r="Z363" s="160">
        <f t="shared" ca="1" si="1220"/>
        <v>0</v>
      </c>
      <c r="AA363" s="160">
        <f t="shared" ca="1" si="1216"/>
        <v>0</v>
      </c>
      <c r="AB363" s="160">
        <f t="shared" ca="1" si="1217"/>
        <v>0</v>
      </c>
      <c r="AC363" s="119">
        <f t="shared" ca="1" si="1218"/>
        <v>0</v>
      </c>
      <c r="AD363" s="115">
        <f t="shared" ca="1" si="1396"/>
        <v>-1.1342465753424658</v>
      </c>
      <c r="AE363" s="115">
        <f t="shared" si="1397"/>
        <v>20</v>
      </c>
      <c r="AF363" s="115"/>
      <c r="AG363" s="115"/>
      <c r="AH363" s="115">
        <f t="shared" si="755"/>
        <v>2.1431249999999999</v>
      </c>
      <c r="AI363" s="115"/>
      <c r="AJ363" s="115">
        <f t="shared" si="756"/>
        <v>0</v>
      </c>
      <c r="AK363" s="115"/>
      <c r="AL363" s="142"/>
      <c r="AM363" s="153"/>
      <c r="AN363" s="153"/>
      <c r="AO363" s="153"/>
      <c r="AP363" s="153"/>
      <c r="AQ363" s="153"/>
      <c r="AR363" s="153"/>
      <c r="AS363" s="153"/>
      <c r="AT363" s="153"/>
      <c r="AU363" s="153"/>
      <c r="AV363" s="153"/>
      <c r="AW363" s="153"/>
      <c r="AX363" s="153"/>
      <c r="AY363" s="153"/>
      <c r="AZ363" s="153"/>
      <c r="BA363" s="153"/>
      <c r="BB363" s="153"/>
      <c r="BC363" s="153"/>
      <c r="BD363" s="153"/>
      <c r="BE363" s="153"/>
      <c r="BF363" s="153"/>
      <c r="BG363" s="153"/>
      <c r="BS363" s="13">
        <v>2</v>
      </c>
      <c r="BT363" s="123">
        <v>44491</v>
      </c>
      <c r="BU363" s="116" t="s">
        <v>8</v>
      </c>
      <c r="BV363" s="115" t="s">
        <v>482</v>
      </c>
      <c r="BW363" s="116" t="s">
        <v>502</v>
      </c>
      <c r="BX363" s="115">
        <v>18400</v>
      </c>
      <c r="BY363" s="115">
        <v>41.7</v>
      </c>
      <c r="BZ363" s="115">
        <v>47.945</v>
      </c>
      <c r="CA363" s="119">
        <v>-3216.6708800000001</v>
      </c>
      <c r="CB363" s="115">
        <v>1.1497601918465228</v>
      </c>
      <c r="CC363" s="115">
        <v>500</v>
      </c>
      <c r="CD363" s="115">
        <v>50</v>
      </c>
      <c r="CE363" s="119">
        <v>20850</v>
      </c>
    </row>
    <row r="364" spans="1:83" hidden="1">
      <c r="A364" s="13">
        <f t="shared" si="753"/>
        <v>357</v>
      </c>
      <c r="B364" s="123">
        <v>44740</v>
      </c>
      <c r="C364" s="116" t="s">
        <v>6</v>
      </c>
      <c r="D364" s="116">
        <v>1</v>
      </c>
      <c r="E364" s="115" t="s">
        <v>482</v>
      </c>
      <c r="F364" s="116" t="s">
        <v>399</v>
      </c>
      <c r="G364" s="115">
        <v>1540</v>
      </c>
      <c r="H364" s="117">
        <v>44770</v>
      </c>
      <c r="I364" s="115">
        <v>300</v>
      </c>
      <c r="J364" s="115">
        <v>53</v>
      </c>
      <c r="K364" s="115">
        <v>5.7</v>
      </c>
      <c r="L364" s="119">
        <f t="shared" ca="1" si="1389"/>
        <v>0</v>
      </c>
      <c r="M364" s="119">
        <f t="shared" si="1390"/>
        <v>-14190</v>
      </c>
      <c r="N364" s="115">
        <f t="shared" si="1391"/>
        <v>0.10754716981132076</v>
      </c>
      <c r="O364" s="156">
        <f t="shared" si="1392"/>
        <v>39.75</v>
      </c>
      <c r="P364" s="160">
        <f t="shared" si="754"/>
        <v>15900</v>
      </c>
      <c r="Q364" s="160" t="e">
        <f t="shared" si="1393"/>
        <v>#N/A</v>
      </c>
      <c r="R364" s="153" t="e">
        <f t="shared" ca="1" si="1219"/>
        <v>#VALUE!</v>
      </c>
      <c r="S364" s="119">
        <f t="shared" si="1394"/>
        <v>5.2999999999999989</v>
      </c>
      <c r="T364" s="115" t="e">
        <f>VLOOKUP(TRIM($F364),Reference!B:C,2,0)</f>
        <v>#VALUE!</v>
      </c>
      <c r="U364" s="170">
        <f t="shared" ca="1" si="1395"/>
        <v>0</v>
      </c>
      <c r="V364" s="120" t="str">
        <f t="shared" si="1213"/>
        <v>LT22JUL1540PE</v>
      </c>
      <c r="W364" s="158" t="e">
        <f>VLOOKUP($V364,Reference!BA:BD,4,0)</f>
        <v>#N/A</v>
      </c>
      <c r="X364" s="160">
        <f t="shared" ca="1" si="1214"/>
        <v>0</v>
      </c>
      <c r="Y364" s="160">
        <f t="shared" ca="1" si="1215"/>
        <v>0</v>
      </c>
      <c r="Z364" s="160">
        <f t="shared" ca="1" si="1220"/>
        <v>0</v>
      </c>
      <c r="AA364" s="160">
        <f t="shared" ca="1" si="1216"/>
        <v>0</v>
      </c>
      <c r="AB364" s="160">
        <f t="shared" ca="1" si="1217"/>
        <v>0</v>
      </c>
      <c r="AC364" s="119">
        <f t="shared" ca="1" si="1218"/>
        <v>0</v>
      </c>
      <c r="AD364" s="115">
        <f t="shared" ca="1" si="1396"/>
        <v>-1.1342465753424658</v>
      </c>
      <c r="AE364" s="115">
        <f t="shared" si="1397"/>
        <v>20</v>
      </c>
      <c r="AF364" s="115"/>
      <c r="AG364" s="115"/>
      <c r="AH364" s="115">
        <f t="shared" si="755"/>
        <v>0</v>
      </c>
      <c r="AI364" s="115"/>
      <c r="AJ364" s="115">
        <f t="shared" si="756"/>
        <v>0.47700000000000004</v>
      </c>
      <c r="AK364" s="115"/>
      <c r="AL364" s="142"/>
      <c r="AM364" s="153"/>
      <c r="AN364" s="153"/>
      <c r="AO364" s="153"/>
      <c r="AP364" s="153"/>
      <c r="AQ364" s="153"/>
      <c r="AR364" s="153"/>
      <c r="AS364" s="153"/>
      <c r="AT364" s="153"/>
      <c r="AU364" s="153"/>
      <c r="AV364" s="153"/>
      <c r="AW364" s="153"/>
      <c r="AX364" s="153"/>
      <c r="AY364" s="153"/>
      <c r="AZ364" s="153"/>
      <c r="BA364" s="153"/>
      <c r="BB364" s="153"/>
      <c r="BC364" s="153"/>
      <c r="BD364" s="153"/>
      <c r="BE364" s="153"/>
      <c r="BF364" s="153"/>
      <c r="BG364" s="153"/>
      <c r="BS364" s="13">
        <v>2</v>
      </c>
      <c r="BT364" s="123">
        <v>44491</v>
      </c>
      <c r="BU364" s="116" t="s">
        <v>8</v>
      </c>
      <c r="BV364" s="115" t="s">
        <v>482</v>
      </c>
      <c r="BW364" s="116" t="s">
        <v>502</v>
      </c>
      <c r="BX364" s="115">
        <v>18400</v>
      </c>
      <c r="BY364" s="115">
        <v>41.7</v>
      </c>
      <c r="BZ364" s="115">
        <v>47.945</v>
      </c>
      <c r="CA364" s="119">
        <v>-3216.6708800000001</v>
      </c>
      <c r="CB364" s="115">
        <v>1.1497601918465228</v>
      </c>
      <c r="CC364" s="115">
        <v>500</v>
      </c>
      <c r="CD364" s="115">
        <v>50</v>
      </c>
      <c r="CE364" s="119">
        <v>20850</v>
      </c>
    </row>
    <row r="365" spans="1:83" hidden="1">
      <c r="A365" s="13">
        <f t="shared" si="753"/>
        <v>358</v>
      </c>
      <c r="B365" s="123">
        <v>44740</v>
      </c>
      <c r="C365" s="116" t="s">
        <v>6</v>
      </c>
      <c r="D365" s="116">
        <v>1</v>
      </c>
      <c r="E365" s="115" t="s">
        <v>482</v>
      </c>
      <c r="F365" s="116" t="s">
        <v>399</v>
      </c>
      <c r="G365" s="115">
        <v>1560</v>
      </c>
      <c r="H365" s="117">
        <v>44770</v>
      </c>
      <c r="I365" s="115">
        <v>300</v>
      </c>
      <c r="J365" s="115">
        <v>63.75</v>
      </c>
      <c r="K365" s="115">
        <v>8.9</v>
      </c>
      <c r="L365" s="119">
        <f t="shared" ref="L365" ca="1" si="1398">IF(AND(K365&lt;&gt;0,I365&lt;&gt;0),(IF(C365="B",1,-1))*(K365-J365)*I365-AK365*2,0)*$D365*IF(MONTH($B$2)=MONTH($H365),1,0)</f>
        <v>0</v>
      </c>
      <c r="M365" s="119">
        <f t="shared" ref="M365" si="1399">IF(AND(K365&lt;&gt;0,I365&lt;&gt;0),(IF(C365="B",1,-1))*(K365-J365)*I365-AK365*2,0)*$D365</f>
        <v>-16455</v>
      </c>
      <c r="N365" s="115">
        <f t="shared" ref="N365" si="1400">K365/$J365</f>
        <v>0.13960784313725491</v>
      </c>
      <c r="O365" s="156">
        <f t="shared" ref="O365" si="1401">J365*(1+$O$6*IF(C365="B",-1,1))</f>
        <v>47.8125</v>
      </c>
      <c r="P365" s="160">
        <f t="shared" si="754"/>
        <v>19125</v>
      </c>
      <c r="Q365" s="160" t="e">
        <f t="shared" ref="Q365" si="1402">(W365-J365)*I365*IF(C365="B",1,-1)*IF(K365=0,1,0)</f>
        <v>#N/A</v>
      </c>
      <c r="R365" s="153" t="e">
        <f t="shared" ca="1" si="1219"/>
        <v>#VALUE!</v>
      </c>
      <c r="S365" s="119">
        <f t="shared" ref="S365" si="1403">(1-$S$6)*J365</f>
        <v>6.3749999999999982</v>
      </c>
      <c r="T365" s="115" t="e">
        <f>VLOOKUP(TRIM($F365),Reference!B:C,2,0)</f>
        <v>#VALUE!</v>
      </c>
      <c r="U365" s="170">
        <f t="shared" ref="U365" ca="1" si="1404">AC365</f>
        <v>0</v>
      </c>
      <c r="V365" s="120" t="str">
        <f t="shared" si="1213"/>
        <v>LT22JUL1560PE</v>
      </c>
      <c r="W365" s="158" t="e">
        <f>VLOOKUP($V365,Reference!BA:BD,4,0)</f>
        <v>#N/A</v>
      </c>
      <c r="X365" s="160">
        <f t="shared" ca="1" si="1214"/>
        <v>0</v>
      </c>
      <c r="Y365" s="160">
        <f t="shared" ca="1" si="1215"/>
        <v>0</v>
      </c>
      <c r="Z365" s="160">
        <f t="shared" ca="1" si="1220"/>
        <v>0</v>
      </c>
      <c r="AA365" s="160">
        <f t="shared" ca="1" si="1216"/>
        <v>0</v>
      </c>
      <c r="AB365" s="160">
        <f t="shared" ca="1" si="1217"/>
        <v>0</v>
      </c>
      <c r="AC365" s="119">
        <f t="shared" ca="1" si="1218"/>
        <v>0</v>
      </c>
      <c r="AD365" s="115">
        <f t="shared" ref="AD365" ca="1" si="1405">(H365-TODAY())/365</f>
        <v>-1.1342465753424658</v>
      </c>
      <c r="AE365" s="115">
        <f t="shared" ref="AE365" si="1406">IF(I365&lt;&gt;0,20,0)</f>
        <v>20</v>
      </c>
      <c r="AF365" s="115"/>
      <c r="AG365" s="115"/>
      <c r="AH365" s="115">
        <f t="shared" si="755"/>
        <v>0</v>
      </c>
      <c r="AI365" s="115"/>
      <c r="AJ365" s="115">
        <f t="shared" si="756"/>
        <v>0.57374999999999998</v>
      </c>
      <c r="AK365" s="115"/>
      <c r="AL365" s="142"/>
      <c r="AM365" s="153"/>
      <c r="AN365" s="153"/>
      <c r="AO365" s="153"/>
      <c r="AP365" s="153"/>
      <c r="AQ365" s="153"/>
      <c r="AR365" s="153"/>
      <c r="AS365" s="153"/>
      <c r="AT365" s="153"/>
      <c r="AU365" s="153"/>
      <c r="AV365" s="153"/>
      <c r="AW365" s="153"/>
      <c r="AX365" s="153"/>
      <c r="AY365" s="153"/>
      <c r="AZ365" s="153"/>
      <c r="BA365" s="153"/>
      <c r="BB365" s="153"/>
      <c r="BC365" s="153"/>
      <c r="BD365" s="153"/>
      <c r="BE365" s="153"/>
      <c r="BF365" s="153"/>
      <c r="BG365" s="153"/>
      <c r="BS365" s="13">
        <v>2</v>
      </c>
      <c r="BT365" s="123">
        <v>44491</v>
      </c>
      <c r="BU365" s="116" t="s">
        <v>8</v>
      </c>
      <c r="BV365" s="115" t="s">
        <v>482</v>
      </c>
      <c r="BW365" s="116" t="s">
        <v>502</v>
      </c>
      <c r="BX365" s="115">
        <v>18400</v>
      </c>
      <c r="BY365" s="115">
        <v>41.7</v>
      </c>
      <c r="BZ365" s="115">
        <v>47.945</v>
      </c>
      <c r="CA365" s="119">
        <v>-3216.6708800000001</v>
      </c>
      <c r="CB365" s="115">
        <v>1.1497601918465228</v>
      </c>
      <c r="CC365" s="115">
        <v>500</v>
      </c>
      <c r="CD365" s="115">
        <v>50</v>
      </c>
      <c r="CE365" s="119">
        <v>20850</v>
      </c>
    </row>
    <row r="366" spans="1:83" hidden="1">
      <c r="A366" s="13">
        <f t="shared" si="753"/>
        <v>359</v>
      </c>
      <c r="B366" s="123">
        <v>44740</v>
      </c>
      <c r="C366" s="116" t="s">
        <v>8</v>
      </c>
      <c r="D366" s="116">
        <v>1</v>
      </c>
      <c r="E366" s="115" t="s">
        <v>481</v>
      </c>
      <c r="F366" s="116" t="s">
        <v>399</v>
      </c>
      <c r="G366" s="115">
        <v>1640</v>
      </c>
      <c r="H366" s="117">
        <v>44770</v>
      </c>
      <c r="I366" s="115">
        <v>300</v>
      </c>
      <c r="J366" s="115">
        <v>12.3</v>
      </c>
      <c r="K366" s="115">
        <v>34.9</v>
      </c>
      <c r="L366" s="119">
        <f t="shared" ref="L366:L367" ca="1" si="1407">IF(AND(K366&lt;&gt;0,I366&lt;&gt;0),(IF(C366="B",1,-1))*(K366-J366)*I366-AK366*2,0)*$D366*IF(MONTH($B$2)=MONTH($H366),1,0)</f>
        <v>0</v>
      </c>
      <c r="M366" s="119">
        <f t="shared" ref="M366:M367" si="1408">IF(AND(K366&lt;&gt;0,I366&lt;&gt;0),(IF(C366="B",1,-1))*(K366-J366)*I366-AK366*2,0)*$D366</f>
        <v>-6779.9999999999991</v>
      </c>
      <c r="N366" s="115">
        <f t="shared" ref="N366:N367" si="1409">K366/$J366</f>
        <v>2.8373983739837394</v>
      </c>
      <c r="O366" s="156">
        <f t="shared" ref="O366:O367" si="1410">J366*(1+$O$6*IF(C366="B",-1,1))</f>
        <v>15.375</v>
      </c>
      <c r="P366" s="160">
        <f t="shared" si="754"/>
        <v>3690</v>
      </c>
      <c r="Q366" s="160">
        <f t="shared" ref="Q366:Q367" si="1411">(W366-J366)*I366*IF(C366="B",1,-1)*IF(K366=0,1,0)</f>
        <v>0</v>
      </c>
      <c r="R366" s="153" t="e">
        <f t="shared" ca="1" si="1219"/>
        <v>#VALUE!</v>
      </c>
      <c r="S366" s="119">
        <f t="shared" ref="S366:S367" si="1412">(1-$S$6)*J366</f>
        <v>1.2299999999999998</v>
      </c>
      <c r="T366" s="115" t="e">
        <f>VLOOKUP(TRIM($F366),Reference!B:C,2,0)</f>
        <v>#VALUE!</v>
      </c>
      <c r="U366" s="170">
        <f t="shared" ref="U366:U367" ca="1" si="1413">AC366</f>
        <v>0</v>
      </c>
      <c r="V366" s="120" t="str">
        <f t="shared" si="1213"/>
        <v>LT22JUL1640CE</v>
      </c>
      <c r="W366" s="158">
        <f>VLOOKUP($V366,Reference!BA:BD,4,0)</f>
        <v>24</v>
      </c>
      <c r="X366" s="160">
        <f t="shared" ca="1" si="1214"/>
        <v>0</v>
      </c>
      <c r="Y366" s="160">
        <f t="shared" ca="1" si="1215"/>
        <v>0</v>
      </c>
      <c r="Z366" s="160">
        <f t="shared" ca="1" si="1220"/>
        <v>0</v>
      </c>
      <c r="AA366" s="160">
        <f t="shared" ca="1" si="1216"/>
        <v>0</v>
      </c>
      <c r="AB366" s="160">
        <f t="shared" ca="1" si="1217"/>
        <v>0</v>
      </c>
      <c r="AC366" s="119">
        <f t="shared" ca="1" si="1218"/>
        <v>0</v>
      </c>
      <c r="AD366" s="115">
        <f t="shared" ref="AD366:AD367" ca="1" si="1414">(H366-TODAY())/365</f>
        <v>-1.1342465753424658</v>
      </c>
      <c r="AE366" s="115">
        <f t="shared" ref="AE366:AE367" si="1415">IF(I366&lt;&gt;0,20,0)</f>
        <v>20</v>
      </c>
      <c r="AF366" s="115"/>
      <c r="AG366" s="115"/>
      <c r="AH366" s="115">
        <f t="shared" si="755"/>
        <v>1.845</v>
      </c>
      <c r="AI366" s="115"/>
      <c r="AJ366" s="115">
        <f t="shared" si="756"/>
        <v>0</v>
      </c>
      <c r="AK366" s="115"/>
      <c r="AL366" s="142"/>
      <c r="AM366" s="153"/>
      <c r="AN366" s="153"/>
      <c r="AO366" s="153"/>
      <c r="AP366" s="153"/>
      <c r="AQ366" s="153"/>
      <c r="AR366" s="153"/>
      <c r="AS366" s="153"/>
      <c r="AT366" s="153"/>
      <c r="AU366" s="153"/>
      <c r="AV366" s="153"/>
      <c r="AW366" s="153"/>
      <c r="AX366" s="153"/>
      <c r="AY366" s="153"/>
      <c r="AZ366" s="153"/>
      <c r="BA366" s="153"/>
      <c r="BB366" s="153"/>
      <c r="BC366" s="153"/>
      <c r="BD366" s="153"/>
      <c r="BE366" s="153"/>
      <c r="BF366" s="153"/>
      <c r="BG366" s="153"/>
      <c r="BS366" s="13">
        <v>2</v>
      </c>
      <c r="BT366" s="123">
        <v>44491</v>
      </c>
      <c r="BU366" s="116" t="s">
        <v>8</v>
      </c>
      <c r="BV366" s="115" t="s">
        <v>482</v>
      </c>
      <c r="BW366" s="116" t="s">
        <v>502</v>
      </c>
      <c r="BX366" s="115">
        <v>18400</v>
      </c>
      <c r="BY366" s="115">
        <v>41.7</v>
      </c>
      <c r="BZ366" s="115">
        <v>47.945</v>
      </c>
      <c r="CA366" s="119">
        <v>-3216.6708800000001</v>
      </c>
      <c r="CB366" s="115">
        <v>1.1497601918465228</v>
      </c>
      <c r="CC366" s="115">
        <v>500</v>
      </c>
      <c r="CD366" s="115">
        <v>50</v>
      </c>
      <c r="CE366" s="119">
        <v>20850</v>
      </c>
    </row>
    <row r="367" spans="1:83" hidden="1">
      <c r="A367" s="13">
        <f t="shared" si="753"/>
        <v>360</v>
      </c>
      <c r="B367" s="123">
        <v>44740</v>
      </c>
      <c r="C367" s="116" t="s">
        <v>8</v>
      </c>
      <c r="D367" s="116">
        <v>1</v>
      </c>
      <c r="E367" s="115" t="s">
        <v>481</v>
      </c>
      <c r="F367" s="116" t="s">
        <v>502</v>
      </c>
      <c r="G367" s="115">
        <v>16500</v>
      </c>
      <c r="H367" s="117">
        <v>44770</v>
      </c>
      <c r="I367" s="115">
        <v>50</v>
      </c>
      <c r="J367" s="115">
        <v>106</v>
      </c>
      <c r="K367" s="115">
        <v>0</v>
      </c>
      <c r="L367" s="119">
        <f t="shared" ca="1" si="1407"/>
        <v>0</v>
      </c>
      <c r="M367" s="119">
        <f t="shared" si="1408"/>
        <v>0</v>
      </c>
      <c r="N367" s="115">
        <f t="shared" si="1409"/>
        <v>0</v>
      </c>
      <c r="O367" s="156">
        <f t="shared" si="1410"/>
        <v>132.5</v>
      </c>
      <c r="P367" s="160">
        <f t="shared" si="754"/>
        <v>5300</v>
      </c>
      <c r="Q367" s="160">
        <f t="shared" si="1411"/>
        <v>3712.5</v>
      </c>
      <c r="R367" s="153" t="e">
        <f t="shared" ca="1" si="1219"/>
        <v>#VALUE!</v>
      </c>
      <c r="S367" s="119">
        <f t="shared" si="1412"/>
        <v>10.599999999999998</v>
      </c>
      <c r="T367" s="115" t="str">
        <f>VLOOKUP(TRIM($F367),Reference!B:C,2,0)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67" s="170">
        <f t="shared" ca="1" si="1413"/>
        <v>0</v>
      </c>
      <c r="V367" s="120" t="str">
        <f t="shared" si="1213"/>
        <v>NIFTY22JUL16500CE</v>
      </c>
      <c r="W367" s="158">
        <f>VLOOKUP($V367,Reference!BA:BD,4,0)</f>
        <v>31.75</v>
      </c>
      <c r="X367" s="160">
        <f t="shared" ca="1" si="1214"/>
        <v>0</v>
      </c>
      <c r="Y367" s="160">
        <f t="shared" ca="1" si="1215"/>
        <v>0</v>
      </c>
      <c r="Z367" s="160">
        <f t="shared" ca="1" si="1220"/>
        <v>0</v>
      </c>
      <c r="AA367" s="160">
        <f t="shared" ca="1" si="1216"/>
        <v>0</v>
      </c>
      <c r="AB367" s="160">
        <f t="shared" ca="1" si="1217"/>
        <v>0</v>
      </c>
      <c r="AC367" s="119">
        <f t="shared" ca="1" si="1218"/>
        <v>0</v>
      </c>
      <c r="AD367" s="115">
        <f t="shared" ca="1" si="1414"/>
        <v>-1.1342465753424658</v>
      </c>
      <c r="AE367" s="115">
        <f t="shared" si="1415"/>
        <v>20</v>
      </c>
      <c r="AF367" s="115"/>
      <c r="AG367" s="115"/>
      <c r="AH367" s="115">
        <f t="shared" si="755"/>
        <v>2.65</v>
      </c>
      <c r="AI367" s="115"/>
      <c r="AJ367" s="115">
        <f t="shared" si="756"/>
        <v>0</v>
      </c>
      <c r="AK367" s="115"/>
      <c r="AL367" s="142"/>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S367" s="13">
        <v>2</v>
      </c>
      <c r="BT367" s="123">
        <v>44491</v>
      </c>
      <c r="BU367" s="116" t="s">
        <v>8</v>
      </c>
      <c r="BV367" s="115" t="s">
        <v>482</v>
      </c>
      <c r="BW367" s="116" t="s">
        <v>502</v>
      </c>
      <c r="BX367" s="115">
        <v>18400</v>
      </c>
      <c r="BY367" s="115">
        <v>41.7</v>
      </c>
      <c r="BZ367" s="115">
        <v>47.945</v>
      </c>
      <c r="CA367" s="119">
        <v>-3216.6708800000001</v>
      </c>
      <c r="CB367" s="115">
        <v>1.1497601918465228</v>
      </c>
      <c r="CC367" s="115">
        <v>500</v>
      </c>
      <c r="CD367" s="115">
        <v>50</v>
      </c>
      <c r="CE367" s="119">
        <v>20850</v>
      </c>
    </row>
    <row r="368" spans="1:83" hidden="1">
      <c r="A368" s="13">
        <f t="shared" si="753"/>
        <v>361</v>
      </c>
      <c r="B368" s="123">
        <v>44740</v>
      </c>
      <c r="C368" s="116" t="s">
        <v>8</v>
      </c>
      <c r="D368" s="116">
        <v>1</v>
      </c>
      <c r="E368" s="115" t="s">
        <v>481</v>
      </c>
      <c r="F368" s="116" t="s">
        <v>90</v>
      </c>
      <c r="G368" s="115">
        <v>3500</v>
      </c>
      <c r="H368" s="117">
        <v>44770</v>
      </c>
      <c r="I368" s="115">
        <v>150</v>
      </c>
      <c r="J368" s="115">
        <v>31.4</v>
      </c>
      <c r="K368" s="115">
        <v>0</v>
      </c>
      <c r="L368" s="119">
        <f t="shared" ref="L368:L370" ca="1" si="1416">IF(AND(K368&lt;&gt;0,I368&lt;&gt;0),(IF(C368="B",1,-1))*(K368-J368)*I368-AK368*2,0)*$D368*IF(MONTH($B$2)=MONTH($H368),1,0)</f>
        <v>0</v>
      </c>
      <c r="M368" s="119">
        <f t="shared" ref="M368:M370" si="1417">IF(AND(K368&lt;&gt;0,I368&lt;&gt;0),(IF(C368="B",1,-1))*(K368-J368)*I368-AK368*2,0)*$D368</f>
        <v>0</v>
      </c>
      <c r="N368" s="115">
        <f t="shared" ref="N368:N370" si="1418">K368/$J368</f>
        <v>0</v>
      </c>
      <c r="O368" s="156">
        <f t="shared" ref="O368:O370" si="1419">J368*(1+$O$6*IF(C368="B",-1,1))</f>
        <v>39.25</v>
      </c>
      <c r="P368" s="160">
        <f t="shared" si="754"/>
        <v>4710</v>
      </c>
      <c r="Q368" s="160">
        <f t="shared" ref="Q368:Q370" si="1420">(W368-J368)*I368*IF(C368="B",1,-1)*IF(K368=0,1,0)</f>
        <v>4395</v>
      </c>
      <c r="R368" s="153" t="e">
        <f t="shared" ca="1" si="1219"/>
        <v>#VALUE!</v>
      </c>
      <c r="S368" s="119">
        <f t="shared" ref="S368:S370" si="1421">(1-$S$6)*J368</f>
        <v>3.1399999999999992</v>
      </c>
      <c r="T368" s="115" t="e">
        <f>VLOOKUP(TRIM($F368),Reference!B:C,2,0)</f>
        <v>#VALUE!</v>
      </c>
      <c r="U368" s="170">
        <f t="shared" ref="U368:U370" ca="1" si="1422">AC368</f>
        <v>0</v>
      </c>
      <c r="V368" s="120" t="str">
        <f t="shared" si="1213"/>
        <v>TCS22JUL3500CE</v>
      </c>
      <c r="W368" s="158">
        <f>VLOOKUP($V368,Reference!BA:BD,4,0)</f>
        <v>2.1</v>
      </c>
      <c r="X368" s="160">
        <f t="shared" ca="1" si="1214"/>
        <v>0</v>
      </c>
      <c r="Y368" s="160">
        <f t="shared" ca="1" si="1215"/>
        <v>0</v>
      </c>
      <c r="Z368" s="160">
        <f t="shared" ca="1" si="1220"/>
        <v>0</v>
      </c>
      <c r="AA368" s="160">
        <f t="shared" ca="1" si="1216"/>
        <v>0</v>
      </c>
      <c r="AB368" s="160">
        <f t="shared" ca="1" si="1217"/>
        <v>0</v>
      </c>
      <c r="AC368" s="119">
        <f t="shared" ca="1" si="1218"/>
        <v>0</v>
      </c>
      <c r="AD368" s="115">
        <f t="shared" ref="AD368:AD370" ca="1" si="1423">(H368-TODAY())/365</f>
        <v>-1.1342465753424658</v>
      </c>
      <c r="AE368" s="115">
        <f t="shared" ref="AE368:AE370" si="1424">IF(I368&lt;&gt;0,20,0)</f>
        <v>20</v>
      </c>
      <c r="AF368" s="115"/>
      <c r="AG368" s="115"/>
      <c r="AH368" s="115">
        <f t="shared" si="755"/>
        <v>2.355</v>
      </c>
      <c r="AI368" s="115"/>
      <c r="AJ368" s="115">
        <f t="shared" si="756"/>
        <v>0</v>
      </c>
      <c r="AK368" s="115"/>
      <c r="AL368" s="142"/>
      <c r="AM368" s="153"/>
      <c r="AN368" s="153"/>
      <c r="AO368" s="153"/>
      <c r="AP368" s="153"/>
      <c r="AQ368" s="153"/>
      <c r="AR368" s="153"/>
      <c r="AS368" s="153"/>
      <c r="AT368" s="153"/>
      <c r="AU368" s="153"/>
      <c r="AV368" s="153"/>
      <c r="AW368" s="153"/>
      <c r="AX368" s="153"/>
      <c r="AY368" s="153"/>
      <c r="AZ368" s="153"/>
      <c r="BA368" s="153"/>
      <c r="BB368" s="153"/>
      <c r="BC368" s="153"/>
      <c r="BD368" s="153"/>
      <c r="BE368" s="153"/>
      <c r="BF368" s="153"/>
      <c r="BG368" s="153"/>
      <c r="BS368" s="13">
        <v>2</v>
      </c>
      <c r="BT368" s="123">
        <v>44491</v>
      </c>
      <c r="BU368" s="116" t="s">
        <v>8</v>
      </c>
      <c r="BV368" s="115" t="s">
        <v>482</v>
      </c>
      <c r="BW368" s="116" t="s">
        <v>502</v>
      </c>
      <c r="BX368" s="115">
        <v>18400</v>
      </c>
      <c r="BY368" s="115">
        <v>41.7</v>
      </c>
      <c r="BZ368" s="115">
        <v>47.945</v>
      </c>
      <c r="CA368" s="119">
        <v>-3216.6708800000001</v>
      </c>
      <c r="CB368" s="115">
        <v>1.1497601918465228</v>
      </c>
      <c r="CC368" s="115">
        <v>500</v>
      </c>
      <c r="CD368" s="115">
        <v>50</v>
      </c>
      <c r="CE368" s="119">
        <v>20850</v>
      </c>
    </row>
    <row r="369" spans="1:83" hidden="1">
      <c r="A369" s="13">
        <f t="shared" si="753"/>
        <v>362</v>
      </c>
      <c r="B369" s="123">
        <v>44740</v>
      </c>
      <c r="C369" s="116" t="s">
        <v>8</v>
      </c>
      <c r="D369" s="116">
        <v>1</v>
      </c>
      <c r="E369" s="115" t="s">
        <v>481</v>
      </c>
      <c r="F369" s="116" t="s">
        <v>506</v>
      </c>
      <c r="G369" s="115">
        <v>35000</v>
      </c>
      <c r="H369" s="117">
        <v>44770</v>
      </c>
      <c r="I369" s="115">
        <v>25</v>
      </c>
      <c r="J369" s="115">
        <v>396</v>
      </c>
      <c r="K369" s="115">
        <v>0</v>
      </c>
      <c r="L369" s="119">
        <f t="shared" ca="1" si="1416"/>
        <v>0</v>
      </c>
      <c r="M369" s="119">
        <f t="shared" si="1417"/>
        <v>0</v>
      </c>
      <c r="N369" s="115">
        <f t="shared" si="1418"/>
        <v>0</v>
      </c>
      <c r="O369" s="156">
        <f t="shared" si="1419"/>
        <v>495</v>
      </c>
      <c r="P369" s="160">
        <f t="shared" si="754"/>
        <v>9900</v>
      </c>
      <c r="Q369" s="160">
        <f t="shared" si="1420"/>
        <v>-56.25</v>
      </c>
      <c r="R369" s="153" t="e">
        <f t="shared" ca="1" si="1219"/>
        <v>#VALUE!</v>
      </c>
      <c r="S369" s="119">
        <f t="shared" si="1421"/>
        <v>39.599999999999994</v>
      </c>
      <c r="T369" s="115" t="str">
        <f>VLOOKUP(TRIM($F369),Reference!B:C,2,0)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69" s="170">
        <f t="shared" ca="1" si="1422"/>
        <v>0</v>
      </c>
      <c r="V369" s="120" t="str">
        <f t="shared" si="1213"/>
        <v>BANKNIFTY22JUL35000CE</v>
      </c>
      <c r="W369" s="158">
        <f>VLOOKUP($V369,Reference!BA:BD,4,0)</f>
        <v>398.25</v>
      </c>
      <c r="X369" s="160">
        <f t="shared" ca="1" si="1214"/>
        <v>0</v>
      </c>
      <c r="Y369" s="160">
        <f t="shared" ca="1" si="1215"/>
        <v>0</v>
      </c>
      <c r="Z369" s="160">
        <f t="shared" ca="1" si="1220"/>
        <v>0</v>
      </c>
      <c r="AA369" s="160">
        <f t="shared" ca="1" si="1216"/>
        <v>0</v>
      </c>
      <c r="AB369" s="160">
        <f t="shared" ca="1" si="1217"/>
        <v>0</v>
      </c>
      <c r="AC369" s="119">
        <f t="shared" ca="1" si="1218"/>
        <v>0</v>
      </c>
      <c r="AD369" s="115">
        <f t="shared" ca="1" si="1423"/>
        <v>-1.1342465753424658</v>
      </c>
      <c r="AE369" s="115">
        <f t="shared" si="1424"/>
        <v>20</v>
      </c>
      <c r="AF369" s="115"/>
      <c r="AG369" s="115"/>
      <c r="AH369" s="115">
        <f t="shared" si="755"/>
        <v>4.95</v>
      </c>
      <c r="AI369" s="115"/>
      <c r="AJ369" s="115">
        <f t="shared" si="756"/>
        <v>0</v>
      </c>
      <c r="AK369" s="115"/>
      <c r="AL369" s="142"/>
      <c r="AM369" s="153"/>
      <c r="AN369" s="153"/>
      <c r="AO369" s="153"/>
      <c r="AP369" s="153"/>
      <c r="AQ369" s="153"/>
      <c r="AR369" s="153"/>
      <c r="AS369" s="153"/>
      <c r="AT369" s="153"/>
      <c r="AU369" s="153"/>
      <c r="AV369" s="153"/>
      <c r="AW369" s="153"/>
      <c r="AX369" s="153"/>
      <c r="AY369" s="153"/>
      <c r="AZ369" s="153"/>
      <c r="BA369" s="153"/>
      <c r="BB369" s="153"/>
      <c r="BC369" s="153"/>
      <c r="BD369" s="153"/>
      <c r="BE369" s="153"/>
      <c r="BF369" s="153"/>
      <c r="BG369" s="153"/>
      <c r="BS369" s="13">
        <v>2</v>
      </c>
      <c r="BT369" s="123">
        <v>44491</v>
      </c>
      <c r="BU369" s="116" t="s">
        <v>8</v>
      </c>
      <c r="BV369" s="115" t="s">
        <v>482</v>
      </c>
      <c r="BW369" s="116" t="s">
        <v>502</v>
      </c>
      <c r="BX369" s="115">
        <v>18400</v>
      </c>
      <c r="BY369" s="115">
        <v>41.7</v>
      </c>
      <c r="BZ369" s="115">
        <v>47.945</v>
      </c>
      <c r="CA369" s="119">
        <v>-3216.6708800000001</v>
      </c>
      <c r="CB369" s="115">
        <v>1.1497601918465228</v>
      </c>
      <c r="CC369" s="115">
        <v>500</v>
      </c>
      <c r="CD369" s="115">
        <v>50</v>
      </c>
      <c r="CE369" s="119">
        <v>20850</v>
      </c>
    </row>
    <row r="370" spans="1:83" hidden="1">
      <c r="A370" s="13">
        <f t="shared" si="753"/>
        <v>363</v>
      </c>
      <c r="B370" s="123">
        <v>44740</v>
      </c>
      <c r="C370" s="116" t="s">
        <v>8</v>
      </c>
      <c r="D370" s="116">
        <v>1</v>
      </c>
      <c r="E370" s="115" t="s">
        <v>481</v>
      </c>
      <c r="F370" s="116" t="s">
        <v>502</v>
      </c>
      <c r="G370" s="115">
        <v>16600</v>
      </c>
      <c r="H370" s="117">
        <v>44770</v>
      </c>
      <c r="I370" s="115">
        <v>50</v>
      </c>
      <c r="J370" s="115">
        <v>91.95</v>
      </c>
      <c r="K370" s="115">
        <v>0</v>
      </c>
      <c r="L370" s="119">
        <f t="shared" ca="1" si="1416"/>
        <v>0</v>
      </c>
      <c r="M370" s="119">
        <f t="shared" si="1417"/>
        <v>0</v>
      </c>
      <c r="N370" s="115">
        <f t="shared" si="1418"/>
        <v>0</v>
      </c>
      <c r="O370" s="156">
        <f t="shared" si="1419"/>
        <v>114.9375</v>
      </c>
      <c r="P370" s="160">
        <f t="shared" si="754"/>
        <v>4597.5</v>
      </c>
      <c r="Q370" s="160">
        <f t="shared" si="1420"/>
        <v>3602.5000000000005</v>
      </c>
      <c r="R370" s="153" t="e">
        <f t="shared" ca="1" si="1219"/>
        <v>#VALUE!</v>
      </c>
      <c r="S370" s="119">
        <f t="shared" si="1421"/>
        <v>9.1949999999999985</v>
      </c>
      <c r="T370" s="115" t="str">
        <f>VLOOKUP(TRIM($F370),Reference!B:C,2,0)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70" s="170">
        <f t="shared" ca="1" si="1422"/>
        <v>0</v>
      </c>
      <c r="V370" s="120" t="str">
        <f t="shared" si="1213"/>
        <v>NIFTY22JUL16600CE</v>
      </c>
      <c r="W370" s="158">
        <f>VLOOKUP($V370,Reference!BA:BD,4,0)</f>
        <v>19.899999999999999</v>
      </c>
      <c r="X370" s="160">
        <f t="shared" ca="1" si="1214"/>
        <v>0</v>
      </c>
      <c r="Y370" s="160">
        <f t="shared" ca="1" si="1215"/>
        <v>0</v>
      </c>
      <c r="Z370" s="160">
        <f t="shared" ca="1" si="1220"/>
        <v>0</v>
      </c>
      <c r="AA370" s="160">
        <f t="shared" ca="1" si="1216"/>
        <v>0</v>
      </c>
      <c r="AB370" s="160">
        <f t="shared" ca="1" si="1217"/>
        <v>0</v>
      </c>
      <c r="AC370" s="119">
        <f t="shared" ca="1" si="1218"/>
        <v>0</v>
      </c>
      <c r="AD370" s="115">
        <f t="shared" ca="1" si="1423"/>
        <v>-1.1342465753424658</v>
      </c>
      <c r="AE370" s="115">
        <f t="shared" si="1424"/>
        <v>20</v>
      </c>
      <c r="AF370" s="115"/>
      <c r="AG370" s="115"/>
      <c r="AH370" s="115">
        <f t="shared" si="755"/>
        <v>2.2987500000000001</v>
      </c>
      <c r="AI370" s="115"/>
      <c r="AJ370" s="115">
        <f t="shared" si="756"/>
        <v>0</v>
      </c>
      <c r="AK370" s="115"/>
      <c r="AL370" s="142"/>
      <c r="AM370" s="153"/>
      <c r="AN370" s="153"/>
      <c r="AO370" s="153"/>
      <c r="AP370" s="153"/>
      <c r="AQ370" s="153"/>
      <c r="AR370" s="153"/>
      <c r="AS370" s="153"/>
      <c r="AT370" s="153"/>
      <c r="AU370" s="153"/>
      <c r="AV370" s="153"/>
      <c r="AW370" s="153"/>
      <c r="AX370" s="153"/>
      <c r="AY370" s="153"/>
      <c r="AZ370" s="153"/>
      <c r="BA370" s="153"/>
      <c r="BB370" s="153"/>
      <c r="BC370" s="153"/>
      <c r="BD370" s="153"/>
      <c r="BE370" s="153"/>
      <c r="BF370" s="153"/>
      <c r="BG370" s="153"/>
      <c r="BS370" s="13">
        <v>2</v>
      </c>
      <c r="BT370" s="123">
        <v>44491</v>
      </c>
      <c r="BU370" s="116" t="s">
        <v>8</v>
      </c>
      <c r="BV370" s="115" t="s">
        <v>482</v>
      </c>
      <c r="BW370" s="116" t="s">
        <v>502</v>
      </c>
      <c r="BX370" s="115">
        <v>18400</v>
      </c>
      <c r="BY370" s="115">
        <v>41.7</v>
      </c>
      <c r="BZ370" s="115">
        <v>47.945</v>
      </c>
      <c r="CA370" s="119">
        <v>-3216.6708800000001</v>
      </c>
      <c r="CB370" s="115">
        <v>1.1497601918465228</v>
      </c>
      <c r="CC370" s="115">
        <v>500</v>
      </c>
      <c r="CD370" s="115">
        <v>50</v>
      </c>
      <c r="CE370" s="119">
        <v>20850</v>
      </c>
    </row>
    <row r="371" spans="1:83" hidden="1">
      <c r="A371" s="13">
        <f t="shared" si="753"/>
        <v>364</v>
      </c>
      <c r="B371" s="123">
        <v>44740</v>
      </c>
      <c r="C371" s="116" t="s">
        <v>8</v>
      </c>
      <c r="D371" s="116">
        <v>1</v>
      </c>
      <c r="E371" s="115" t="s">
        <v>481</v>
      </c>
      <c r="F371" s="116" t="s">
        <v>502</v>
      </c>
      <c r="G371" s="115">
        <v>16600</v>
      </c>
      <c r="H371" s="117">
        <v>44770</v>
      </c>
      <c r="I371" s="115">
        <v>50</v>
      </c>
      <c r="J371" s="115">
        <v>94.75</v>
      </c>
      <c r="K371" s="115">
        <v>0</v>
      </c>
      <c r="L371" s="119">
        <f t="shared" ref="L371" ca="1" si="1425">IF(AND(K371&lt;&gt;0,I371&lt;&gt;0),(IF(C371="B",1,-1))*(K371-J371)*I371-AK371*2,0)*$D371*IF(MONTH($B$2)=MONTH($H371),1,0)</f>
        <v>0</v>
      </c>
      <c r="M371" s="119">
        <f t="shared" ref="M371" si="1426">IF(AND(K371&lt;&gt;0,I371&lt;&gt;0),(IF(C371="B",1,-1))*(K371-J371)*I371-AK371*2,0)*$D371</f>
        <v>0</v>
      </c>
      <c r="N371" s="115">
        <f t="shared" ref="N371" si="1427">K371/$J371</f>
        <v>0</v>
      </c>
      <c r="O371" s="156">
        <f t="shared" ref="O371" si="1428">J371*(1+$O$6*IF(C371="B",-1,1))</f>
        <v>118.4375</v>
      </c>
      <c r="P371" s="160">
        <f t="shared" si="754"/>
        <v>4737.5</v>
      </c>
      <c r="Q371" s="160">
        <f t="shared" ref="Q371" si="1429">(W371-J371)*I371*IF(C371="B",1,-1)*IF(K371=0,1,0)</f>
        <v>3742.4999999999995</v>
      </c>
      <c r="R371" s="153" t="e">
        <f t="shared" ca="1" si="1219"/>
        <v>#VALUE!</v>
      </c>
      <c r="S371" s="119">
        <f t="shared" ref="S371" si="1430">(1-$S$6)*J371</f>
        <v>9.4749999999999979</v>
      </c>
      <c r="T371" s="115" t="str">
        <f>VLOOKUP(TRIM($F371),Reference!B:C,2,0)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71" s="170">
        <f t="shared" ref="U371" ca="1" si="1431">AC371</f>
        <v>0</v>
      </c>
      <c r="V371" s="120" t="str">
        <f t="shared" si="1213"/>
        <v>NIFTY22JUL16600CE</v>
      </c>
      <c r="W371" s="158">
        <f>VLOOKUP($V371,Reference!BA:BD,4,0)</f>
        <v>19.899999999999999</v>
      </c>
      <c r="X371" s="160">
        <f t="shared" ca="1" si="1214"/>
        <v>0</v>
      </c>
      <c r="Y371" s="160">
        <f t="shared" ca="1" si="1215"/>
        <v>0</v>
      </c>
      <c r="Z371" s="160">
        <f t="shared" ca="1" si="1220"/>
        <v>0</v>
      </c>
      <c r="AA371" s="160">
        <f t="shared" ca="1" si="1216"/>
        <v>0</v>
      </c>
      <c r="AB371" s="160">
        <f t="shared" ca="1" si="1217"/>
        <v>0</v>
      </c>
      <c r="AC371" s="119">
        <f t="shared" ca="1" si="1218"/>
        <v>0</v>
      </c>
      <c r="AD371" s="115">
        <f t="shared" ref="AD371" ca="1" si="1432">(H371-TODAY())/365</f>
        <v>-1.1342465753424658</v>
      </c>
      <c r="AE371" s="115">
        <f t="shared" ref="AE371" si="1433">IF(I371&lt;&gt;0,20,0)</f>
        <v>20</v>
      </c>
      <c r="AF371" s="115"/>
      <c r="AG371" s="115"/>
      <c r="AH371" s="115">
        <f t="shared" si="755"/>
        <v>2.3687499999999999</v>
      </c>
      <c r="AI371" s="115"/>
      <c r="AJ371" s="115">
        <f t="shared" si="756"/>
        <v>0</v>
      </c>
      <c r="AK371" s="115"/>
      <c r="AL371" s="142"/>
      <c r="AM371" s="153"/>
      <c r="AN371" s="153"/>
      <c r="AO371" s="153"/>
      <c r="AP371" s="153"/>
      <c r="AQ371" s="153"/>
      <c r="AR371" s="153"/>
      <c r="AS371" s="153"/>
      <c r="AT371" s="153"/>
      <c r="AU371" s="153"/>
      <c r="AV371" s="153"/>
      <c r="AW371" s="153"/>
      <c r="AX371" s="153"/>
      <c r="AY371" s="153"/>
      <c r="AZ371" s="153"/>
      <c r="BA371" s="153"/>
      <c r="BB371" s="153"/>
      <c r="BC371" s="153"/>
      <c r="BD371" s="153"/>
      <c r="BE371" s="153"/>
      <c r="BF371" s="153"/>
      <c r="BG371" s="153"/>
      <c r="BS371" s="13">
        <v>2</v>
      </c>
      <c r="BT371" s="123">
        <v>44491</v>
      </c>
      <c r="BU371" s="116" t="s">
        <v>8</v>
      </c>
      <c r="BV371" s="115" t="s">
        <v>482</v>
      </c>
      <c r="BW371" s="116" t="s">
        <v>502</v>
      </c>
      <c r="BX371" s="115">
        <v>18400</v>
      </c>
      <c r="BY371" s="115">
        <v>41.7</v>
      </c>
      <c r="BZ371" s="115">
        <v>47.945</v>
      </c>
      <c r="CA371" s="119">
        <v>-3216.6708800000001</v>
      </c>
      <c r="CB371" s="115">
        <v>1.1497601918465228</v>
      </c>
      <c r="CC371" s="115">
        <v>500</v>
      </c>
      <c r="CD371" s="115">
        <v>50</v>
      </c>
      <c r="CE371" s="119">
        <v>20850</v>
      </c>
    </row>
    <row r="372" spans="1:83" hidden="1">
      <c r="A372" s="13">
        <f t="shared" si="753"/>
        <v>365</v>
      </c>
      <c r="B372" s="123">
        <v>44740</v>
      </c>
      <c r="C372" s="116" t="s">
        <v>6</v>
      </c>
      <c r="D372" s="116">
        <v>1</v>
      </c>
      <c r="E372" s="115" t="s">
        <v>632</v>
      </c>
      <c r="F372" s="116" t="s">
        <v>681</v>
      </c>
      <c r="G372" s="115"/>
      <c r="H372" s="117">
        <v>44770</v>
      </c>
      <c r="I372" s="115">
        <v>1600</v>
      </c>
      <c r="J372" s="115">
        <v>369</v>
      </c>
      <c r="K372" s="115">
        <v>0</v>
      </c>
      <c r="L372" s="119">
        <f t="shared" ref="L372:L373" ca="1" si="1434">IF(AND(K372&lt;&gt;0,I372&lt;&gt;0),(IF(C372="B",1,-1))*(K372-J372)*I372-AK372*2,0)*$D372*IF(MONTH($B$2)=MONTH($H372),1,0)</f>
        <v>0</v>
      </c>
      <c r="M372" s="119">
        <f t="shared" ref="M372:M373" si="1435">IF(AND(K372&lt;&gt;0,I372&lt;&gt;0),(IF(C372="B",1,-1))*(K372-J372)*I372-AK372*2,0)*$D372</f>
        <v>0</v>
      </c>
      <c r="N372" s="115">
        <f t="shared" ref="N372:N373" si="1436">K372/$J372</f>
        <v>0</v>
      </c>
      <c r="O372" s="156">
        <f t="shared" ref="O372:O373" si="1437">J372*(1+$O$6*IF(C372="B",-1,1))</f>
        <v>276.75</v>
      </c>
      <c r="P372" s="160">
        <f t="shared" si="754"/>
        <v>590400</v>
      </c>
      <c r="Q372" s="160">
        <f t="shared" ref="Q372:Q373" si="1438">(W372-J372)*I372*IF(C372="B",1,-1)*IF(K372=0,1,0)</f>
        <v>-13919.999999999982</v>
      </c>
      <c r="R372" s="153" t="e">
        <f t="shared" ca="1" si="1219"/>
        <v>#VALUE!</v>
      </c>
      <c r="S372" s="119">
        <f t="shared" ref="S372:S373" si="1439">(1-$S$6)*J372</f>
        <v>36.899999999999991</v>
      </c>
      <c r="T372" s="115" t="e">
        <f>VLOOKUP(TRIM($F372),Reference!B:C,2,0)</f>
        <v>#VALUE!</v>
      </c>
      <c r="U372" s="170">
        <f t="shared" ref="U372:U373" ca="1" si="1440">AC372</f>
        <v>0</v>
      </c>
      <c r="V372" s="120" t="str">
        <f t="shared" si="1213"/>
        <v>BALRAMCHIN22JULFUT</v>
      </c>
      <c r="W372" s="158">
        <f>VLOOKUP($V372,Reference!BA:BD,4,0)</f>
        <v>360.3</v>
      </c>
      <c r="X372" s="160">
        <f t="shared" ca="1" si="1214"/>
        <v>0</v>
      </c>
      <c r="Y372" s="160">
        <f t="shared" ca="1" si="1215"/>
        <v>0</v>
      </c>
      <c r="Z372" s="160">
        <f t="shared" ca="1" si="1220"/>
        <v>0</v>
      </c>
      <c r="AA372" s="160">
        <f t="shared" ca="1" si="1216"/>
        <v>0</v>
      </c>
      <c r="AB372" s="160">
        <f t="shared" ca="1" si="1217"/>
        <v>0</v>
      </c>
      <c r="AC372" s="119">
        <f t="shared" ca="1" si="1218"/>
        <v>0</v>
      </c>
      <c r="AD372" s="115">
        <f t="shared" ref="AD372:AD373" ca="1" si="1441">(H372-TODAY())/365</f>
        <v>-1.1342465753424658</v>
      </c>
      <c r="AE372" s="115">
        <f t="shared" ref="AE372:AE373" si="1442">IF(I372&lt;&gt;0,20,0)</f>
        <v>20</v>
      </c>
      <c r="AF372" s="115"/>
      <c r="AG372" s="115"/>
      <c r="AH372" s="115">
        <f t="shared" si="755"/>
        <v>0</v>
      </c>
      <c r="AI372" s="115"/>
      <c r="AJ372" s="115">
        <f t="shared" si="756"/>
        <v>17.712</v>
      </c>
      <c r="AK372" s="115"/>
      <c r="AL372" s="142"/>
      <c r="AM372" s="153"/>
      <c r="AN372" s="153"/>
      <c r="AO372" s="153"/>
      <c r="AP372" s="153"/>
      <c r="AQ372" s="153"/>
      <c r="AR372" s="153"/>
      <c r="AS372" s="153"/>
      <c r="AT372" s="153"/>
      <c r="AU372" s="153"/>
      <c r="AV372" s="153"/>
      <c r="AW372" s="153"/>
      <c r="AX372" s="153"/>
      <c r="AY372" s="153"/>
      <c r="AZ372" s="153"/>
      <c r="BA372" s="153"/>
      <c r="BB372" s="153"/>
      <c r="BC372" s="153"/>
      <c r="BD372" s="153"/>
      <c r="BE372" s="153"/>
      <c r="BF372" s="153"/>
      <c r="BG372" s="153"/>
      <c r="BS372" s="13">
        <v>2</v>
      </c>
      <c r="BT372" s="123">
        <v>44491</v>
      </c>
      <c r="BU372" s="116" t="s">
        <v>8</v>
      </c>
      <c r="BV372" s="115" t="s">
        <v>482</v>
      </c>
      <c r="BW372" s="116" t="s">
        <v>502</v>
      </c>
      <c r="BX372" s="115">
        <v>18400</v>
      </c>
      <c r="BY372" s="115">
        <v>41.7</v>
      </c>
      <c r="BZ372" s="115">
        <v>47.945</v>
      </c>
      <c r="CA372" s="119">
        <v>-3216.6708800000001</v>
      </c>
      <c r="CB372" s="115">
        <v>1.1497601918465228</v>
      </c>
      <c r="CC372" s="115">
        <v>500</v>
      </c>
      <c r="CD372" s="115">
        <v>50</v>
      </c>
      <c r="CE372" s="119">
        <v>20850</v>
      </c>
    </row>
    <row r="373" spans="1:83" hidden="1">
      <c r="A373" s="13">
        <f t="shared" si="753"/>
        <v>366</v>
      </c>
      <c r="B373" s="123">
        <v>44740</v>
      </c>
      <c r="C373" s="116" t="s">
        <v>8</v>
      </c>
      <c r="D373" s="116">
        <v>1</v>
      </c>
      <c r="E373" s="115" t="s">
        <v>481</v>
      </c>
      <c r="F373" s="116" t="s">
        <v>681</v>
      </c>
      <c r="G373" s="115">
        <v>400</v>
      </c>
      <c r="H373" s="117">
        <v>44770</v>
      </c>
      <c r="I373" s="115">
        <v>1600</v>
      </c>
      <c r="J373" s="115">
        <v>8.8000000000000007</v>
      </c>
      <c r="K373" s="115">
        <v>0</v>
      </c>
      <c r="L373" s="119">
        <f t="shared" ca="1" si="1434"/>
        <v>0</v>
      </c>
      <c r="M373" s="119">
        <f t="shared" si="1435"/>
        <v>0</v>
      </c>
      <c r="N373" s="115">
        <f t="shared" si="1436"/>
        <v>0</v>
      </c>
      <c r="O373" s="156">
        <f t="shared" si="1437"/>
        <v>11</v>
      </c>
      <c r="P373" s="160">
        <f t="shared" si="754"/>
        <v>14080.000000000002</v>
      </c>
      <c r="Q373" s="160">
        <f t="shared" si="1438"/>
        <v>10000.000000000002</v>
      </c>
      <c r="R373" s="153" t="e">
        <f t="shared" ca="1" si="1219"/>
        <v>#VALUE!</v>
      </c>
      <c r="S373" s="119">
        <f t="shared" si="1439"/>
        <v>0.87999999999999989</v>
      </c>
      <c r="T373" s="115" t="e">
        <f>VLOOKUP(TRIM($F373),Reference!B:C,2,0)</f>
        <v>#VALUE!</v>
      </c>
      <c r="U373" s="170">
        <f t="shared" ca="1" si="1440"/>
        <v>0</v>
      </c>
      <c r="V373" s="120" t="str">
        <f t="shared" si="1213"/>
        <v>BALRAMCHIN22JUL400CE</v>
      </c>
      <c r="W373" s="158">
        <f>VLOOKUP($V373,Reference!BA:BD,4,0)</f>
        <v>2.5499999999999998</v>
      </c>
      <c r="X373" s="160">
        <f t="shared" ca="1" si="1214"/>
        <v>0</v>
      </c>
      <c r="Y373" s="160">
        <f t="shared" ca="1" si="1215"/>
        <v>0</v>
      </c>
      <c r="Z373" s="160">
        <f t="shared" ca="1" si="1220"/>
        <v>0</v>
      </c>
      <c r="AA373" s="160">
        <f t="shared" ca="1" si="1216"/>
        <v>0</v>
      </c>
      <c r="AB373" s="160">
        <f t="shared" ca="1" si="1217"/>
        <v>0</v>
      </c>
      <c r="AC373" s="119">
        <f t="shared" ca="1" si="1218"/>
        <v>0</v>
      </c>
      <c r="AD373" s="115">
        <f t="shared" ca="1" si="1441"/>
        <v>-1.1342465753424658</v>
      </c>
      <c r="AE373" s="115">
        <f t="shared" si="1442"/>
        <v>20</v>
      </c>
      <c r="AF373" s="115"/>
      <c r="AG373" s="115"/>
      <c r="AH373" s="115">
        <f t="shared" si="755"/>
        <v>7.0400000000000009</v>
      </c>
      <c r="AI373" s="115"/>
      <c r="AJ373" s="115">
        <f t="shared" si="756"/>
        <v>0</v>
      </c>
      <c r="AK373" s="115"/>
      <c r="AL373" s="142"/>
      <c r="AM373" s="153"/>
      <c r="AN373" s="153"/>
      <c r="AO373" s="153"/>
      <c r="AP373" s="153"/>
      <c r="AQ373" s="153"/>
      <c r="AR373" s="153"/>
      <c r="AS373" s="153"/>
      <c r="AT373" s="153"/>
      <c r="AU373" s="153"/>
      <c r="AV373" s="153"/>
      <c r="AW373" s="153"/>
      <c r="AX373" s="153"/>
      <c r="AY373" s="153"/>
      <c r="AZ373" s="153"/>
      <c r="BA373" s="153"/>
      <c r="BB373" s="153"/>
      <c r="BC373" s="153"/>
      <c r="BD373" s="153"/>
      <c r="BE373" s="153"/>
      <c r="BF373" s="153"/>
      <c r="BG373" s="153"/>
      <c r="BS373" s="13">
        <v>2</v>
      </c>
      <c r="BT373" s="123">
        <v>44491</v>
      </c>
      <c r="BU373" s="116" t="s">
        <v>8</v>
      </c>
      <c r="BV373" s="115" t="s">
        <v>482</v>
      </c>
      <c r="BW373" s="116" t="s">
        <v>502</v>
      </c>
      <c r="BX373" s="115">
        <v>18400</v>
      </c>
      <c r="BY373" s="115">
        <v>41.7</v>
      </c>
      <c r="BZ373" s="115">
        <v>47.945</v>
      </c>
      <c r="CA373" s="119">
        <v>-3216.6708800000001</v>
      </c>
      <c r="CB373" s="115">
        <v>1.1497601918465228</v>
      </c>
      <c r="CC373" s="115">
        <v>500</v>
      </c>
      <c r="CD373" s="115">
        <v>50</v>
      </c>
      <c r="CE373" s="119">
        <v>20850</v>
      </c>
    </row>
    <row r="374" spans="1:83" hidden="1">
      <c r="A374" s="13">
        <f t="shared" si="753"/>
        <v>367</v>
      </c>
      <c r="B374" s="123">
        <v>44740</v>
      </c>
      <c r="C374" s="116" t="s">
        <v>8</v>
      </c>
      <c r="D374" s="116">
        <v>1</v>
      </c>
      <c r="E374" s="115" t="s">
        <v>481</v>
      </c>
      <c r="F374" s="116" t="s">
        <v>681</v>
      </c>
      <c r="G374" s="115">
        <v>400</v>
      </c>
      <c r="H374" s="117">
        <v>44770</v>
      </c>
      <c r="I374" s="115">
        <v>1600</v>
      </c>
      <c r="J374" s="115">
        <v>8.8000000000000007</v>
      </c>
      <c r="K374" s="115">
        <v>0</v>
      </c>
      <c r="L374" s="119">
        <f t="shared" ref="L374" ca="1" si="1443">IF(AND(K374&lt;&gt;0,I374&lt;&gt;0),(IF(C374="B",1,-1))*(K374-J374)*I374-AK374*2,0)*$D374*IF(MONTH($B$2)=MONTH($H374),1,0)</f>
        <v>0</v>
      </c>
      <c r="M374" s="119">
        <f t="shared" ref="M374" si="1444">IF(AND(K374&lt;&gt;0,I374&lt;&gt;0),(IF(C374="B",1,-1))*(K374-J374)*I374-AK374*2,0)*$D374</f>
        <v>0</v>
      </c>
      <c r="N374" s="115">
        <f t="shared" ref="N374" si="1445">K374/$J374</f>
        <v>0</v>
      </c>
      <c r="O374" s="156">
        <f t="shared" ref="O374" si="1446">J374*(1+$O$6*IF(C374="B",-1,1))</f>
        <v>11</v>
      </c>
      <c r="P374" s="160">
        <f t="shared" si="754"/>
        <v>14080.000000000002</v>
      </c>
      <c r="Q374" s="160">
        <f t="shared" ref="Q374" si="1447">(W374-J374)*I374*IF(C374="B",1,-1)*IF(K374=0,1,0)</f>
        <v>10000.000000000002</v>
      </c>
      <c r="R374" s="153" t="e">
        <f t="shared" ca="1" si="1219"/>
        <v>#VALUE!</v>
      </c>
      <c r="S374" s="119">
        <f t="shared" ref="S374" si="1448">(1-$S$6)*J374</f>
        <v>0.87999999999999989</v>
      </c>
      <c r="T374" s="115" t="e">
        <f>VLOOKUP(TRIM($F374),Reference!B:C,2,0)</f>
        <v>#VALUE!</v>
      </c>
      <c r="U374" s="170">
        <f t="shared" ref="U374" ca="1" si="1449">AC374</f>
        <v>0</v>
      </c>
      <c r="V374" s="120" t="str">
        <f t="shared" si="1213"/>
        <v>BALRAMCHIN22JUL400CE</v>
      </c>
      <c r="W374" s="158">
        <f>VLOOKUP($V374,Reference!BA:BD,4,0)</f>
        <v>2.5499999999999998</v>
      </c>
      <c r="X374" s="160">
        <f t="shared" ca="1" si="1214"/>
        <v>0</v>
      </c>
      <c r="Y374" s="160">
        <f t="shared" ca="1" si="1215"/>
        <v>0</v>
      </c>
      <c r="Z374" s="160">
        <f t="shared" ca="1" si="1220"/>
        <v>0</v>
      </c>
      <c r="AA374" s="160">
        <f t="shared" ca="1" si="1216"/>
        <v>0</v>
      </c>
      <c r="AB374" s="160">
        <f t="shared" ca="1" si="1217"/>
        <v>0</v>
      </c>
      <c r="AC374" s="119">
        <f t="shared" ca="1" si="1218"/>
        <v>0</v>
      </c>
      <c r="AD374" s="115">
        <f t="shared" ref="AD374" ca="1" si="1450">(H374-TODAY())/365</f>
        <v>-1.1342465753424658</v>
      </c>
      <c r="AE374" s="115">
        <f t="shared" ref="AE374" si="1451">IF(I374&lt;&gt;0,20,0)</f>
        <v>20</v>
      </c>
      <c r="AF374" s="115"/>
      <c r="AG374" s="115"/>
      <c r="AH374" s="115">
        <f t="shared" si="755"/>
        <v>7.0400000000000009</v>
      </c>
      <c r="AI374" s="115"/>
      <c r="AJ374" s="115">
        <f t="shared" si="756"/>
        <v>0</v>
      </c>
      <c r="AK374" s="115"/>
      <c r="AL374" s="142"/>
      <c r="AM374" s="153"/>
      <c r="AN374" s="153"/>
      <c r="AO374" s="153"/>
      <c r="AP374" s="153"/>
      <c r="AQ374" s="153"/>
      <c r="AR374" s="153"/>
      <c r="AS374" s="153"/>
      <c r="AT374" s="153"/>
      <c r="AU374" s="153"/>
      <c r="AV374" s="153"/>
      <c r="AW374" s="153"/>
      <c r="AX374" s="153"/>
      <c r="AY374" s="153"/>
      <c r="AZ374" s="153"/>
      <c r="BA374" s="153"/>
      <c r="BB374" s="153"/>
      <c r="BC374" s="153"/>
      <c r="BD374" s="153"/>
      <c r="BE374" s="153"/>
      <c r="BF374" s="153"/>
      <c r="BG374" s="153"/>
      <c r="BS374" s="13">
        <v>2</v>
      </c>
      <c r="BT374" s="123">
        <v>44491</v>
      </c>
      <c r="BU374" s="116" t="s">
        <v>8</v>
      </c>
      <c r="BV374" s="115" t="s">
        <v>482</v>
      </c>
      <c r="BW374" s="116" t="s">
        <v>502</v>
      </c>
      <c r="BX374" s="115">
        <v>18400</v>
      </c>
      <c r="BY374" s="115">
        <v>41.7</v>
      </c>
      <c r="BZ374" s="115">
        <v>47.945</v>
      </c>
      <c r="CA374" s="119">
        <v>-3216.6708800000001</v>
      </c>
      <c r="CB374" s="115">
        <v>1.1497601918465228</v>
      </c>
      <c r="CC374" s="115">
        <v>500</v>
      </c>
      <c r="CD374" s="115">
        <v>50</v>
      </c>
      <c r="CE374" s="119">
        <v>20850</v>
      </c>
    </row>
    <row r="375" spans="1:83" hidden="1">
      <c r="A375" s="13">
        <f t="shared" si="753"/>
        <v>368</v>
      </c>
      <c r="B375" s="123">
        <v>44740</v>
      </c>
      <c r="C375" s="116" t="s">
        <v>6</v>
      </c>
      <c r="D375" s="116">
        <v>1</v>
      </c>
      <c r="E375" s="115" t="s">
        <v>482</v>
      </c>
      <c r="F375" s="116" t="s">
        <v>681</v>
      </c>
      <c r="G375" s="115">
        <v>370</v>
      </c>
      <c r="H375" s="117">
        <v>44770</v>
      </c>
      <c r="I375" s="115">
        <v>1600</v>
      </c>
      <c r="J375" s="115">
        <v>21.15</v>
      </c>
      <c r="K375" s="115">
        <v>0</v>
      </c>
      <c r="L375" s="119">
        <f t="shared" ref="L375:L376" ca="1" si="1452">IF(AND(K375&lt;&gt;0,I375&lt;&gt;0),(IF(C375="B",1,-1))*(K375-J375)*I375-AK375*2,0)*$D375*IF(MONTH($B$2)=MONTH($H375),1,0)</f>
        <v>0</v>
      </c>
      <c r="M375" s="119">
        <f t="shared" ref="M375:M376" si="1453">IF(AND(K375&lt;&gt;0,I375&lt;&gt;0),(IF(C375="B",1,-1))*(K375-J375)*I375-AK375*2,0)*$D375</f>
        <v>0</v>
      </c>
      <c r="N375" s="115">
        <f t="shared" ref="N375:N376" si="1454">K375/$J375</f>
        <v>0</v>
      </c>
      <c r="O375" s="156">
        <f t="shared" ref="O375:O376" si="1455">J375*(1+$O$6*IF(C375="B",-1,1))</f>
        <v>15.862499999999999</v>
      </c>
      <c r="P375" s="160">
        <f t="shared" si="754"/>
        <v>33840</v>
      </c>
      <c r="Q375" s="160">
        <f t="shared" ref="Q375:Q376" si="1456">(W375-J375)*I375*IF(C375="B",1,-1)*IF(K375=0,1,0)</f>
        <v>-3279.9999999999955</v>
      </c>
      <c r="R375" s="153" t="e">
        <f t="shared" ca="1" si="1219"/>
        <v>#VALUE!</v>
      </c>
      <c r="S375" s="119">
        <f t="shared" ref="S375:S376" si="1457">(1-$S$6)*J375</f>
        <v>2.1149999999999993</v>
      </c>
      <c r="T375" s="115" t="e">
        <f>VLOOKUP(TRIM($F375),Reference!B:C,2,0)</f>
        <v>#VALUE!</v>
      </c>
      <c r="U375" s="170">
        <f t="shared" ref="U375:U376" ca="1" si="1458">AC375</f>
        <v>0</v>
      </c>
      <c r="V375" s="120" t="str">
        <f t="shared" si="1213"/>
        <v>BALRAMCHIN22JUL370PE</v>
      </c>
      <c r="W375" s="158">
        <f>VLOOKUP($V375,Reference!BA:BD,4,0)</f>
        <v>19.100000000000001</v>
      </c>
      <c r="X375" s="160">
        <f t="shared" ca="1" si="1214"/>
        <v>0</v>
      </c>
      <c r="Y375" s="160">
        <f t="shared" ca="1" si="1215"/>
        <v>0</v>
      </c>
      <c r="Z375" s="160">
        <f t="shared" ca="1" si="1220"/>
        <v>0</v>
      </c>
      <c r="AA375" s="160">
        <f t="shared" ca="1" si="1216"/>
        <v>0</v>
      </c>
      <c r="AB375" s="160">
        <f t="shared" ca="1" si="1217"/>
        <v>0</v>
      </c>
      <c r="AC375" s="119">
        <f t="shared" ca="1" si="1218"/>
        <v>0</v>
      </c>
      <c r="AD375" s="115">
        <f t="shared" ref="AD375:AD376" ca="1" si="1459">(H375-TODAY())/365</f>
        <v>-1.1342465753424658</v>
      </c>
      <c r="AE375" s="115">
        <f t="shared" ref="AE375:AE376" si="1460">IF(I375&lt;&gt;0,20,0)</f>
        <v>20</v>
      </c>
      <c r="AF375" s="115"/>
      <c r="AG375" s="115"/>
      <c r="AH375" s="115">
        <f t="shared" si="755"/>
        <v>0</v>
      </c>
      <c r="AI375" s="115"/>
      <c r="AJ375" s="115">
        <f t="shared" si="756"/>
        <v>1.0152000000000001</v>
      </c>
      <c r="AK375" s="115"/>
      <c r="AL375" s="142"/>
      <c r="AM375" s="153"/>
      <c r="AN375" s="153"/>
      <c r="AO375" s="153"/>
      <c r="AP375" s="153"/>
      <c r="AQ375" s="153"/>
      <c r="AR375" s="153"/>
      <c r="AS375" s="153"/>
      <c r="AT375" s="153"/>
      <c r="AU375" s="153"/>
      <c r="AV375" s="153"/>
      <c r="AW375" s="153"/>
      <c r="AX375" s="153"/>
      <c r="AY375" s="153"/>
      <c r="AZ375" s="153"/>
      <c r="BA375" s="153"/>
      <c r="BB375" s="153"/>
      <c r="BC375" s="153"/>
      <c r="BD375" s="153"/>
      <c r="BE375" s="153"/>
      <c r="BF375" s="153"/>
      <c r="BG375" s="153"/>
      <c r="BS375" s="13">
        <v>2</v>
      </c>
      <c r="BT375" s="123">
        <v>44491</v>
      </c>
      <c r="BU375" s="116" t="s">
        <v>8</v>
      </c>
      <c r="BV375" s="115" t="s">
        <v>482</v>
      </c>
      <c r="BW375" s="116" t="s">
        <v>502</v>
      </c>
      <c r="BX375" s="115">
        <v>18400</v>
      </c>
      <c r="BY375" s="115">
        <v>41.7</v>
      </c>
      <c r="BZ375" s="115">
        <v>47.945</v>
      </c>
      <c r="CA375" s="119">
        <v>-3216.6708800000001</v>
      </c>
      <c r="CB375" s="115">
        <v>1.1497601918465228</v>
      </c>
      <c r="CC375" s="115">
        <v>500</v>
      </c>
      <c r="CD375" s="115">
        <v>50</v>
      </c>
      <c r="CE375" s="119">
        <v>20850</v>
      </c>
    </row>
    <row r="376" spans="1:83" hidden="1">
      <c r="A376" s="13">
        <f t="shared" si="753"/>
        <v>369</v>
      </c>
      <c r="B376" s="123">
        <v>44741</v>
      </c>
      <c r="C376" s="116" t="s">
        <v>8</v>
      </c>
      <c r="D376" s="116">
        <v>1</v>
      </c>
      <c r="E376" s="115" t="s">
        <v>481</v>
      </c>
      <c r="F376" s="116" t="s">
        <v>90</v>
      </c>
      <c r="G376" s="115">
        <v>3500</v>
      </c>
      <c r="H376" s="117">
        <v>44770</v>
      </c>
      <c r="I376" s="115">
        <v>150</v>
      </c>
      <c r="J376" s="115">
        <v>34.65</v>
      </c>
      <c r="K376" s="115">
        <v>0</v>
      </c>
      <c r="L376" s="119">
        <f t="shared" ca="1" si="1452"/>
        <v>0</v>
      </c>
      <c r="M376" s="119">
        <f t="shared" si="1453"/>
        <v>0</v>
      </c>
      <c r="N376" s="115">
        <f t="shared" si="1454"/>
        <v>0</v>
      </c>
      <c r="O376" s="156">
        <f t="shared" si="1455"/>
        <v>43.3125</v>
      </c>
      <c r="P376" s="160">
        <f t="shared" si="754"/>
        <v>5197.5</v>
      </c>
      <c r="Q376" s="160">
        <f t="shared" si="1456"/>
        <v>4882.5</v>
      </c>
      <c r="R376" s="153" t="e">
        <f t="shared" ca="1" si="1219"/>
        <v>#VALUE!</v>
      </c>
      <c r="S376" s="119">
        <f t="shared" si="1457"/>
        <v>3.464999999999999</v>
      </c>
      <c r="T376" s="115" t="e">
        <f>VLOOKUP(TRIM($F376),Reference!B:C,2,0)</f>
        <v>#VALUE!</v>
      </c>
      <c r="U376" s="170">
        <f t="shared" ca="1" si="1458"/>
        <v>0</v>
      </c>
      <c r="V376" s="120" t="str">
        <f t="shared" si="1213"/>
        <v>TCS22JUL3500CE</v>
      </c>
      <c r="W376" s="158">
        <f>VLOOKUP($V376,Reference!BA:BD,4,0)</f>
        <v>2.1</v>
      </c>
      <c r="X376" s="160">
        <f t="shared" ca="1" si="1214"/>
        <v>0</v>
      </c>
      <c r="Y376" s="160">
        <f t="shared" ca="1" si="1215"/>
        <v>0</v>
      </c>
      <c r="Z376" s="160">
        <f t="shared" ca="1" si="1220"/>
        <v>0</v>
      </c>
      <c r="AA376" s="160">
        <f t="shared" ca="1" si="1216"/>
        <v>0</v>
      </c>
      <c r="AB376" s="160">
        <f t="shared" ca="1" si="1217"/>
        <v>0</v>
      </c>
      <c r="AC376" s="119">
        <f t="shared" ca="1" si="1218"/>
        <v>0</v>
      </c>
      <c r="AD376" s="115">
        <f t="shared" ca="1" si="1459"/>
        <v>-1.1342465753424658</v>
      </c>
      <c r="AE376" s="115">
        <f t="shared" si="1460"/>
        <v>20</v>
      </c>
      <c r="AF376" s="115"/>
      <c r="AG376" s="115"/>
      <c r="AH376" s="115">
        <f t="shared" si="755"/>
        <v>2.5987499999999999</v>
      </c>
      <c r="AI376" s="115"/>
      <c r="AJ376" s="115">
        <f t="shared" si="756"/>
        <v>0</v>
      </c>
      <c r="AK376" s="115"/>
      <c r="AL376" s="142"/>
      <c r="AM376" s="153"/>
      <c r="AN376" s="153"/>
      <c r="AO376" s="153"/>
      <c r="AP376" s="153"/>
      <c r="AQ376" s="153"/>
      <c r="AR376" s="153"/>
      <c r="AS376" s="153"/>
      <c r="AT376" s="153"/>
      <c r="AU376" s="153"/>
      <c r="AV376" s="153"/>
      <c r="AW376" s="153"/>
      <c r="AX376" s="153"/>
      <c r="AY376" s="153"/>
      <c r="AZ376" s="153"/>
      <c r="BA376" s="153"/>
      <c r="BB376" s="153"/>
      <c r="BC376" s="153"/>
      <c r="BD376" s="153"/>
      <c r="BE376" s="153"/>
      <c r="BF376" s="153"/>
      <c r="BG376" s="153"/>
      <c r="BS376" s="13">
        <v>2</v>
      </c>
      <c r="BT376" s="123">
        <v>44491</v>
      </c>
      <c r="BU376" s="116" t="s">
        <v>8</v>
      </c>
      <c r="BV376" s="115" t="s">
        <v>482</v>
      </c>
      <c r="BW376" s="116" t="s">
        <v>502</v>
      </c>
      <c r="BX376" s="115">
        <v>18400</v>
      </c>
      <c r="BY376" s="115">
        <v>41.7</v>
      </c>
      <c r="BZ376" s="115">
        <v>47.945</v>
      </c>
      <c r="CA376" s="119">
        <v>-3216.6708800000001</v>
      </c>
      <c r="CB376" s="115">
        <v>1.1497601918465228</v>
      </c>
      <c r="CC376" s="115">
        <v>500</v>
      </c>
      <c r="CD376" s="115">
        <v>50</v>
      </c>
      <c r="CE376" s="119">
        <v>20850</v>
      </c>
    </row>
    <row r="377" spans="1:83" hidden="1">
      <c r="A377" s="13">
        <f t="shared" si="753"/>
        <v>370</v>
      </c>
      <c r="B377" s="123">
        <v>44741</v>
      </c>
      <c r="C377" s="116" t="s">
        <v>8</v>
      </c>
      <c r="D377" s="116">
        <v>1</v>
      </c>
      <c r="E377" s="115" t="s">
        <v>481</v>
      </c>
      <c r="F377" s="116" t="s">
        <v>284</v>
      </c>
      <c r="G377" s="115">
        <v>460</v>
      </c>
      <c r="H377" s="117">
        <v>44770</v>
      </c>
      <c r="I377" s="115">
        <v>1425</v>
      </c>
      <c r="J377" s="115">
        <v>5.9</v>
      </c>
      <c r="K377" s="115">
        <v>0</v>
      </c>
      <c r="L377" s="119">
        <f t="shared" ref="L377:L378" ca="1" si="1461">IF(AND(K377&lt;&gt;0,I377&lt;&gt;0),(IF(C377="B",1,-1))*(K377-J377)*I377-AK377*2,0)*$D377*IF(MONTH($B$2)=MONTH($H377),1,0)</f>
        <v>0</v>
      </c>
      <c r="M377" s="119">
        <f t="shared" ref="M377:M378" si="1462">IF(AND(K377&lt;&gt;0,I377&lt;&gt;0),(IF(C377="B",1,-1))*(K377-J377)*I377-AK377*2,0)*$D377</f>
        <v>0</v>
      </c>
      <c r="N377" s="115">
        <f t="shared" ref="N377:N378" si="1463">K377/$J377</f>
        <v>0</v>
      </c>
      <c r="O377" s="156">
        <f t="shared" ref="O377:O378" si="1464">J377*(1+$O$6*IF(C377="B",-1,1))</f>
        <v>7.375</v>
      </c>
      <c r="P377" s="160">
        <f t="shared" si="754"/>
        <v>8407.5</v>
      </c>
      <c r="Q377" s="160">
        <f t="shared" ref="Q377:Q378" si="1465">(W377-J377)*I377*IF(C377="B",1,-1)*IF(K377=0,1,0)</f>
        <v>4061.2500000000009</v>
      </c>
      <c r="R377" s="153" t="e">
        <f t="shared" ca="1" si="1219"/>
        <v>#VALUE!</v>
      </c>
      <c r="S377" s="119">
        <f t="shared" ref="S377:S378" si="1466">(1-$S$6)*J377</f>
        <v>0.58999999999999986</v>
      </c>
      <c r="T377" s="115" t="e">
        <f>VLOOKUP(TRIM($F377),Reference!B:C,2,0)</f>
        <v>#VALUE!</v>
      </c>
      <c r="U377" s="170">
        <f t="shared" ref="U377:U378" ca="1" si="1467">AC377</f>
        <v>0</v>
      </c>
      <c r="V377" s="120" t="str">
        <f t="shared" si="1213"/>
        <v>TATAMOTORS22JUL460CE</v>
      </c>
      <c r="W377" s="158">
        <f>VLOOKUP($V377,Reference!BA:BD,4,0)</f>
        <v>3.05</v>
      </c>
      <c r="X377" s="160">
        <f t="shared" ca="1" si="1214"/>
        <v>0</v>
      </c>
      <c r="Y377" s="160">
        <f t="shared" ca="1" si="1215"/>
        <v>0</v>
      </c>
      <c r="Z377" s="160">
        <f t="shared" ca="1" si="1220"/>
        <v>0</v>
      </c>
      <c r="AA377" s="160">
        <f t="shared" ca="1" si="1216"/>
        <v>0</v>
      </c>
      <c r="AB377" s="160">
        <f t="shared" ca="1" si="1217"/>
        <v>0</v>
      </c>
      <c r="AC377" s="119">
        <f t="shared" ca="1" si="1218"/>
        <v>0</v>
      </c>
      <c r="AD377" s="115">
        <f t="shared" ref="AD377:AD378" ca="1" si="1468">(H377-TODAY())/365</f>
        <v>-1.1342465753424658</v>
      </c>
      <c r="AE377" s="115">
        <f t="shared" ref="AE377:AE378" si="1469">IF(I377&lt;&gt;0,20,0)</f>
        <v>20</v>
      </c>
      <c r="AF377" s="115"/>
      <c r="AG377" s="115"/>
      <c r="AH377" s="115">
        <f t="shared" si="755"/>
        <v>4.2037500000000003</v>
      </c>
      <c r="AI377" s="115"/>
      <c r="AJ377" s="115">
        <f t="shared" si="756"/>
        <v>0</v>
      </c>
      <c r="AK377" s="115"/>
      <c r="AL377" s="142"/>
      <c r="AM377" s="153"/>
      <c r="AN377" s="153"/>
      <c r="AO377" s="153"/>
      <c r="AP377" s="153"/>
      <c r="AQ377" s="153"/>
      <c r="AR377" s="153"/>
      <c r="AS377" s="153"/>
      <c r="AT377" s="153"/>
      <c r="AU377" s="153"/>
      <c r="AV377" s="153"/>
      <c r="AW377" s="153"/>
      <c r="AX377" s="153"/>
      <c r="AY377" s="153"/>
      <c r="AZ377" s="153"/>
      <c r="BA377" s="153"/>
      <c r="BB377" s="153"/>
      <c r="BC377" s="153"/>
      <c r="BD377" s="153"/>
      <c r="BE377" s="153"/>
      <c r="BF377" s="153"/>
      <c r="BG377" s="153"/>
      <c r="BS377" s="13">
        <v>2</v>
      </c>
      <c r="BT377" s="123">
        <v>44491</v>
      </c>
      <c r="BU377" s="116" t="s">
        <v>8</v>
      </c>
      <c r="BV377" s="115" t="s">
        <v>482</v>
      </c>
      <c r="BW377" s="116" t="s">
        <v>502</v>
      </c>
      <c r="BX377" s="115">
        <v>18400</v>
      </c>
      <c r="BY377" s="115">
        <v>41.7</v>
      </c>
      <c r="BZ377" s="115">
        <v>47.945</v>
      </c>
      <c r="CA377" s="119">
        <v>-3216.6708800000001</v>
      </c>
      <c r="CB377" s="115">
        <v>1.1497601918465228</v>
      </c>
      <c r="CC377" s="115">
        <v>500</v>
      </c>
      <c r="CD377" s="115">
        <v>50</v>
      </c>
      <c r="CE377" s="119">
        <v>20850</v>
      </c>
    </row>
    <row r="378" spans="1:83" hidden="1">
      <c r="A378" s="13">
        <f t="shared" si="753"/>
        <v>371</v>
      </c>
      <c r="B378" s="123">
        <v>44741</v>
      </c>
      <c r="C378" s="116" t="s">
        <v>8</v>
      </c>
      <c r="D378" s="116">
        <v>1</v>
      </c>
      <c r="E378" s="115" t="s">
        <v>481</v>
      </c>
      <c r="F378" s="116" t="s">
        <v>502</v>
      </c>
      <c r="G378" s="115">
        <v>16600</v>
      </c>
      <c r="H378" s="117">
        <v>44770</v>
      </c>
      <c r="I378" s="115">
        <v>50</v>
      </c>
      <c r="J378" s="115">
        <v>80</v>
      </c>
      <c r="K378" s="115">
        <v>0</v>
      </c>
      <c r="L378" s="119">
        <f t="shared" ca="1" si="1461"/>
        <v>0</v>
      </c>
      <c r="M378" s="119">
        <f t="shared" si="1462"/>
        <v>0</v>
      </c>
      <c r="N378" s="115">
        <f t="shared" si="1463"/>
        <v>0</v>
      </c>
      <c r="O378" s="156">
        <f t="shared" si="1464"/>
        <v>100</v>
      </c>
      <c r="P378" s="160">
        <f t="shared" si="754"/>
        <v>4000</v>
      </c>
      <c r="Q378" s="160">
        <f t="shared" si="1465"/>
        <v>3005</v>
      </c>
      <c r="R378" s="153" t="e">
        <f t="shared" ca="1" si="1219"/>
        <v>#VALUE!</v>
      </c>
      <c r="S378" s="119">
        <f t="shared" si="1466"/>
        <v>7.9999999999999982</v>
      </c>
      <c r="T378" s="115" t="str">
        <f>VLOOKUP(TRIM($F378),Reference!B:C,2,0)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78" s="170">
        <f t="shared" ca="1" si="1467"/>
        <v>0</v>
      </c>
      <c r="V378" s="120" t="str">
        <f t="shared" si="1213"/>
        <v>NIFTY22JUL16600CE</v>
      </c>
      <c r="W378" s="158">
        <f>VLOOKUP($V378,Reference!BA:BD,4,0)</f>
        <v>19.899999999999999</v>
      </c>
      <c r="X378" s="160">
        <f t="shared" ca="1" si="1214"/>
        <v>0</v>
      </c>
      <c r="Y378" s="160">
        <f t="shared" ca="1" si="1215"/>
        <v>0</v>
      </c>
      <c r="Z378" s="160">
        <f t="shared" ca="1" si="1220"/>
        <v>0</v>
      </c>
      <c r="AA378" s="160">
        <f t="shared" ca="1" si="1216"/>
        <v>0</v>
      </c>
      <c r="AB378" s="160">
        <f t="shared" ca="1" si="1217"/>
        <v>0</v>
      </c>
      <c r="AC378" s="119">
        <f t="shared" ca="1" si="1218"/>
        <v>0</v>
      </c>
      <c r="AD378" s="115">
        <f t="shared" ca="1" si="1468"/>
        <v>-1.1342465753424658</v>
      </c>
      <c r="AE378" s="115">
        <f t="shared" si="1469"/>
        <v>20</v>
      </c>
      <c r="AF378" s="115"/>
      <c r="AG378" s="115"/>
      <c r="AH378" s="115">
        <f t="shared" si="755"/>
        <v>2</v>
      </c>
      <c r="AI378" s="115"/>
      <c r="AJ378" s="115">
        <f t="shared" si="756"/>
        <v>0</v>
      </c>
      <c r="AK378" s="115"/>
      <c r="AL378" s="142"/>
      <c r="AM378" s="153"/>
      <c r="AN378" s="153"/>
      <c r="AO378" s="153"/>
      <c r="AP378" s="153"/>
      <c r="AQ378" s="153"/>
      <c r="AR378" s="153"/>
      <c r="AS378" s="153"/>
      <c r="AT378" s="153"/>
      <c r="AU378" s="153"/>
      <c r="AV378" s="153"/>
      <c r="AW378" s="153"/>
      <c r="AX378" s="153"/>
      <c r="AY378" s="153"/>
      <c r="AZ378" s="153"/>
      <c r="BA378" s="153"/>
      <c r="BB378" s="153"/>
      <c r="BC378" s="153"/>
      <c r="BD378" s="153"/>
      <c r="BE378" s="153"/>
      <c r="BF378" s="153"/>
      <c r="BG378" s="153"/>
      <c r="BS378" s="13">
        <v>2</v>
      </c>
      <c r="BT378" s="123">
        <v>44491</v>
      </c>
      <c r="BU378" s="116" t="s">
        <v>8</v>
      </c>
      <c r="BV378" s="115" t="s">
        <v>482</v>
      </c>
      <c r="BW378" s="116" t="s">
        <v>502</v>
      </c>
      <c r="BX378" s="115">
        <v>18400</v>
      </c>
      <c r="BY378" s="115">
        <v>41.7</v>
      </c>
      <c r="BZ378" s="115">
        <v>47.945</v>
      </c>
      <c r="CA378" s="119">
        <v>-3216.6708800000001</v>
      </c>
      <c r="CB378" s="115">
        <v>1.1497601918465228</v>
      </c>
      <c r="CC378" s="115">
        <v>500</v>
      </c>
      <c r="CD378" s="115">
        <v>50</v>
      </c>
      <c r="CE378" s="119">
        <v>20850</v>
      </c>
    </row>
    <row r="379" spans="1:83" hidden="1">
      <c r="A379" s="13">
        <f t="shared" si="753"/>
        <v>372</v>
      </c>
      <c r="B379" s="123">
        <v>44741</v>
      </c>
      <c r="C379" s="116" t="s">
        <v>8</v>
      </c>
      <c r="D379" s="116">
        <v>1</v>
      </c>
      <c r="E379" s="115" t="s">
        <v>481</v>
      </c>
      <c r="F379" s="116" t="s">
        <v>502</v>
      </c>
      <c r="G379" s="115">
        <v>16500</v>
      </c>
      <c r="H379" s="117">
        <v>44770</v>
      </c>
      <c r="I379" s="115">
        <v>50</v>
      </c>
      <c r="J379" s="115">
        <v>101.25</v>
      </c>
      <c r="K379" s="115">
        <v>0</v>
      </c>
      <c r="L379" s="119">
        <f t="shared" ref="L379:L380" ca="1" si="1470">IF(AND(K379&lt;&gt;0,I379&lt;&gt;0),(IF(C379="B",1,-1))*(K379-J379)*I379-AK379*2,0)*$D379*IF(MONTH($B$2)=MONTH($H379),1,0)</f>
        <v>0</v>
      </c>
      <c r="M379" s="119">
        <f t="shared" ref="M379:M380" si="1471">IF(AND(K379&lt;&gt;0,I379&lt;&gt;0),(IF(C379="B",1,-1))*(K379-J379)*I379-AK379*2,0)*$D379</f>
        <v>0</v>
      </c>
      <c r="N379" s="115">
        <f t="shared" ref="N379:N380" si="1472">K379/$J379</f>
        <v>0</v>
      </c>
      <c r="O379" s="156">
        <f t="shared" ref="O379:O380" si="1473">J379*(1+$O$6*IF(C379="B",-1,1))</f>
        <v>126.5625</v>
      </c>
      <c r="P379" s="160">
        <f t="shared" si="754"/>
        <v>5062.5</v>
      </c>
      <c r="Q379" s="160">
        <f t="shared" ref="Q379:Q380" si="1474">(W379-J379)*I379*IF(C379="B",1,-1)*IF(K379=0,1,0)</f>
        <v>3475</v>
      </c>
      <c r="R379" s="153" t="e">
        <f t="shared" ca="1" si="1219"/>
        <v>#VALUE!</v>
      </c>
      <c r="S379" s="119">
        <f t="shared" ref="S379:S380" si="1475">(1-$S$6)*J379</f>
        <v>10.124999999999998</v>
      </c>
      <c r="T379" s="115" t="str">
        <f>VLOOKUP(TRIM($F379),Reference!B:C,2,0)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79" s="170">
        <f t="shared" ref="U379:U380" ca="1" si="1476">AC379</f>
        <v>0</v>
      </c>
      <c r="V379" s="120" t="str">
        <f t="shared" si="1213"/>
        <v>NIFTY22JUL16500CE</v>
      </c>
      <c r="W379" s="158">
        <f>VLOOKUP($V379,Reference!BA:BD,4,0)</f>
        <v>31.75</v>
      </c>
      <c r="X379" s="160">
        <f t="shared" ca="1" si="1214"/>
        <v>0</v>
      </c>
      <c r="Y379" s="160">
        <f t="shared" ca="1" si="1215"/>
        <v>0</v>
      </c>
      <c r="Z379" s="160">
        <f t="shared" ca="1" si="1220"/>
        <v>0</v>
      </c>
      <c r="AA379" s="160">
        <f t="shared" ca="1" si="1216"/>
        <v>0</v>
      </c>
      <c r="AB379" s="160">
        <f t="shared" ca="1" si="1217"/>
        <v>0</v>
      </c>
      <c r="AC379" s="119">
        <f t="shared" ca="1" si="1218"/>
        <v>0</v>
      </c>
      <c r="AD379" s="115">
        <f t="shared" ref="AD379:AD380" ca="1" si="1477">(H379-TODAY())/365</f>
        <v>-1.1342465753424658</v>
      </c>
      <c r="AE379" s="115">
        <f t="shared" ref="AE379:AE380" si="1478">IF(I379&lt;&gt;0,20,0)</f>
        <v>20</v>
      </c>
      <c r="AF379" s="115"/>
      <c r="AG379" s="115"/>
      <c r="AH379" s="115">
        <f t="shared" si="755"/>
        <v>2.53125</v>
      </c>
      <c r="AI379" s="115"/>
      <c r="AJ379" s="115">
        <f t="shared" si="756"/>
        <v>0</v>
      </c>
      <c r="AK379" s="115"/>
      <c r="AL379" s="142"/>
      <c r="AM379" s="153"/>
      <c r="AN379" s="153"/>
      <c r="AO379" s="153"/>
      <c r="AP379" s="153"/>
      <c r="AQ379" s="153"/>
      <c r="AR379" s="153"/>
      <c r="AS379" s="153"/>
      <c r="AT379" s="153"/>
      <c r="AU379" s="153"/>
      <c r="AV379" s="153"/>
      <c r="AW379" s="153"/>
      <c r="AX379" s="153"/>
      <c r="AY379" s="153"/>
      <c r="AZ379" s="153"/>
      <c r="BA379" s="153"/>
      <c r="BB379" s="153"/>
      <c r="BC379" s="153"/>
      <c r="BD379" s="153"/>
      <c r="BE379" s="153"/>
      <c r="BF379" s="153"/>
      <c r="BG379" s="153"/>
      <c r="BS379" s="13">
        <v>2</v>
      </c>
      <c r="BT379" s="123">
        <v>44491</v>
      </c>
      <c r="BU379" s="116" t="s">
        <v>8</v>
      </c>
      <c r="BV379" s="115" t="s">
        <v>482</v>
      </c>
      <c r="BW379" s="116" t="s">
        <v>502</v>
      </c>
      <c r="BX379" s="115">
        <v>18400</v>
      </c>
      <c r="BY379" s="115">
        <v>41.7</v>
      </c>
      <c r="BZ379" s="115">
        <v>47.945</v>
      </c>
      <c r="CA379" s="119">
        <v>-3216.6708800000001</v>
      </c>
      <c r="CB379" s="115">
        <v>1.1497601918465228</v>
      </c>
      <c r="CC379" s="115">
        <v>500</v>
      </c>
      <c r="CD379" s="115">
        <v>50</v>
      </c>
      <c r="CE379" s="119">
        <v>20850</v>
      </c>
    </row>
    <row r="380" spans="1:83" hidden="1">
      <c r="A380" s="13">
        <f t="shared" si="753"/>
        <v>373</v>
      </c>
      <c r="B380" s="123">
        <v>44741</v>
      </c>
      <c r="C380" s="116" t="s">
        <v>8</v>
      </c>
      <c r="D380" s="116">
        <v>1</v>
      </c>
      <c r="E380" s="115" t="s">
        <v>481</v>
      </c>
      <c r="F380" s="116" t="s">
        <v>506</v>
      </c>
      <c r="G380" s="115">
        <v>35000</v>
      </c>
      <c r="H380" s="117">
        <v>44770</v>
      </c>
      <c r="I380" s="115">
        <v>25</v>
      </c>
      <c r="J380" s="115">
        <v>276.10000000000002</v>
      </c>
      <c r="K380" s="115">
        <v>0</v>
      </c>
      <c r="L380" s="119">
        <f t="shared" ca="1" si="1470"/>
        <v>0</v>
      </c>
      <c r="M380" s="119">
        <f t="shared" si="1471"/>
        <v>0</v>
      </c>
      <c r="N380" s="115">
        <f t="shared" si="1472"/>
        <v>0</v>
      </c>
      <c r="O380" s="156">
        <f t="shared" si="1473"/>
        <v>345.125</v>
      </c>
      <c r="P380" s="160">
        <f t="shared" si="754"/>
        <v>6902.5000000000009</v>
      </c>
      <c r="Q380" s="160">
        <f t="shared" si="1474"/>
        <v>-3053.7499999999995</v>
      </c>
      <c r="R380" s="153" t="e">
        <f t="shared" ca="1" si="1219"/>
        <v>#VALUE!</v>
      </c>
      <c r="S380" s="119">
        <f t="shared" si="1475"/>
        <v>27.609999999999996</v>
      </c>
      <c r="T380" s="115" t="str">
        <f>VLOOKUP(TRIM($F380),Reference!B:C,2,0)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80" s="170">
        <f t="shared" ca="1" si="1476"/>
        <v>0</v>
      </c>
      <c r="V380" s="120" t="str">
        <f t="shared" si="1213"/>
        <v>BANKNIFTY22JUL35000CE</v>
      </c>
      <c r="W380" s="158">
        <f>VLOOKUP($V380,Reference!BA:BD,4,0)</f>
        <v>398.25</v>
      </c>
      <c r="X380" s="160">
        <f t="shared" ca="1" si="1214"/>
        <v>0</v>
      </c>
      <c r="Y380" s="160">
        <f t="shared" ca="1" si="1215"/>
        <v>0</v>
      </c>
      <c r="Z380" s="160">
        <f t="shared" ca="1" si="1220"/>
        <v>0</v>
      </c>
      <c r="AA380" s="160">
        <f t="shared" ca="1" si="1216"/>
        <v>0</v>
      </c>
      <c r="AB380" s="160">
        <f t="shared" ca="1" si="1217"/>
        <v>0</v>
      </c>
      <c r="AC380" s="119">
        <f t="shared" ca="1" si="1218"/>
        <v>0</v>
      </c>
      <c r="AD380" s="115">
        <f t="shared" ca="1" si="1477"/>
        <v>-1.1342465753424658</v>
      </c>
      <c r="AE380" s="115">
        <f t="shared" si="1478"/>
        <v>20</v>
      </c>
      <c r="AF380" s="115"/>
      <c r="AG380" s="115"/>
      <c r="AH380" s="115">
        <f t="shared" si="755"/>
        <v>3.4512500000000004</v>
      </c>
      <c r="AI380" s="115"/>
      <c r="AJ380" s="115">
        <f t="shared" si="756"/>
        <v>0</v>
      </c>
      <c r="AK380" s="115"/>
      <c r="AL380" s="142"/>
      <c r="AM380" s="153"/>
      <c r="AN380" s="153"/>
      <c r="AO380" s="153"/>
      <c r="AP380" s="153"/>
      <c r="AQ380" s="153"/>
      <c r="AR380" s="153"/>
      <c r="AS380" s="153"/>
      <c r="AT380" s="153"/>
      <c r="AU380" s="153"/>
      <c r="AV380" s="153"/>
      <c r="AW380" s="153"/>
      <c r="AX380" s="153"/>
      <c r="AY380" s="153"/>
      <c r="AZ380" s="153"/>
      <c r="BA380" s="153"/>
      <c r="BB380" s="153"/>
      <c r="BC380" s="153"/>
      <c r="BD380" s="153"/>
      <c r="BE380" s="153"/>
      <c r="BF380" s="153"/>
      <c r="BG380" s="153"/>
      <c r="BS380" s="13">
        <v>2</v>
      </c>
      <c r="BT380" s="123">
        <v>44491</v>
      </c>
      <c r="BU380" s="116" t="s">
        <v>8</v>
      </c>
      <c r="BV380" s="115" t="s">
        <v>482</v>
      </c>
      <c r="BW380" s="116" t="s">
        <v>502</v>
      </c>
      <c r="BX380" s="115">
        <v>18400</v>
      </c>
      <c r="BY380" s="115">
        <v>41.7</v>
      </c>
      <c r="BZ380" s="115">
        <v>47.945</v>
      </c>
      <c r="CA380" s="119">
        <v>-3216.6708800000001</v>
      </c>
      <c r="CB380" s="115">
        <v>1.1497601918465228</v>
      </c>
      <c r="CC380" s="115">
        <v>500</v>
      </c>
      <c r="CD380" s="115">
        <v>50</v>
      </c>
      <c r="CE380" s="119">
        <v>20850</v>
      </c>
    </row>
    <row r="381" spans="1:83" hidden="1">
      <c r="A381" s="13">
        <f t="shared" si="753"/>
        <v>374</v>
      </c>
      <c r="B381" s="123">
        <v>44747</v>
      </c>
      <c r="C381" s="116" t="s">
        <v>8</v>
      </c>
      <c r="D381" s="116">
        <v>1</v>
      </c>
      <c r="E381" s="115" t="s">
        <v>481</v>
      </c>
      <c r="F381" s="116" t="s">
        <v>502</v>
      </c>
      <c r="G381" s="115">
        <v>16100</v>
      </c>
      <c r="H381" s="117">
        <v>44749</v>
      </c>
      <c r="I381" s="115">
        <v>50</v>
      </c>
      <c r="J381" s="115">
        <v>55.4</v>
      </c>
      <c r="K381" s="115">
        <v>0</v>
      </c>
      <c r="L381" s="119">
        <f t="shared" ref="L381:L382" ca="1" si="1479">IF(AND(K381&lt;&gt;0,I381&lt;&gt;0),(IF(C381="B",1,-1))*(K381-J381)*I381-AK381*2,0)*$D381*IF(MONTH($B$2)=MONTH($H381),1,0)</f>
        <v>0</v>
      </c>
      <c r="M381" s="119">
        <f t="shared" ref="M381:M382" si="1480">IF(AND(K381&lt;&gt;0,I381&lt;&gt;0),(IF(C381="B",1,-1))*(K381-J381)*I381-AK381*2,0)*$D381</f>
        <v>0</v>
      </c>
      <c r="N381" s="115">
        <f t="shared" ref="N381:N382" si="1481">K381/$J381</f>
        <v>0</v>
      </c>
      <c r="O381" s="156">
        <f t="shared" ref="O381:O382" si="1482">J381*(1+$O$6*IF(C381="B",-1,1))</f>
        <v>69.25</v>
      </c>
      <c r="P381" s="160">
        <f t="shared" si="754"/>
        <v>2770</v>
      </c>
      <c r="Q381" s="160" t="e">
        <f t="shared" ref="Q381:Q382" si="1483">(W381-J381)*I381*IF(C381="B",1,-1)*IF(K381=0,1,0)</f>
        <v>#N/A</v>
      </c>
      <c r="R381" s="153" t="e">
        <f t="shared" ca="1" si="1219"/>
        <v>#VALUE!</v>
      </c>
      <c r="S381" s="119">
        <f t="shared" ref="S381:S382" si="1484">(1-$S$6)*J381</f>
        <v>5.5399999999999983</v>
      </c>
      <c r="T381" s="115" t="str">
        <f>VLOOKUP(TRIM($F381),Reference!B:C,2,0)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81" s="170">
        <f t="shared" ref="U381:U382" ca="1" si="1485">AC381</f>
        <v>0</v>
      </c>
      <c r="V381" s="120" t="str">
        <f t="shared" si="1213"/>
        <v>NIFTY22JUL16100CE</v>
      </c>
      <c r="W381" s="158" t="e">
        <f>VLOOKUP($V381,Reference!BA:BD,4,0)</f>
        <v>#N/A</v>
      </c>
      <c r="X381" s="160">
        <f t="shared" ca="1" si="1214"/>
        <v>0</v>
      </c>
      <c r="Y381" s="160">
        <f t="shared" ca="1" si="1215"/>
        <v>0</v>
      </c>
      <c r="Z381" s="160">
        <f t="shared" ca="1" si="1220"/>
        <v>0</v>
      </c>
      <c r="AA381" s="160">
        <f t="shared" ca="1" si="1216"/>
        <v>0</v>
      </c>
      <c r="AB381" s="160">
        <f t="shared" ca="1" si="1217"/>
        <v>0</v>
      </c>
      <c r="AC381" s="119">
        <f t="shared" ca="1" si="1218"/>
        <v>0</v>
      </c>
      <c r="AD381" s="115">
        <f t="shared" ref="AD381:AD382" ca="1" si="1486">(H381-TODAY())/365</f>
        <v>-1.1917808219178083</v>
      </c>
      <c r="AE381" s="115">
        <f t="shared" ref="AE381:AE382" si="1487">IF(I381&lt;&gt;0,20,0)</f>
        <v>20</v>
      </c>
      <c r="AF381" s="115"/>
      <c r="AG381" s="115"/>
      <c r="AH381" s="115">
        <f t="shared" si="755"/>
        <v>1.385</v>
      </c>
      <c r="AI381" s="115"/>
      <c r="AJ381" s="115">
        <f t="shared" si="756"/>
        <v>0</v>
      </c>
      <c r="AK381" s="115"/>
      <c r="AL381" s="142"/>
      <c r="AM381" s="153"/>
      <c r="AN381" s="153"/>
      <c r="AO381" s="153"/>
      <c r="AP381" s="153"/>
      <c r="AQ381" s="153"/>
      <c r="AR381" s="153"/>
      <c r="AS381" s="153"/>
      <c r="AT381" s="153"/>
      <c r="AU381" s="153"/>
      <c r="AV381" s="153"/>
      <c r="AW381" s="153"/>
      <c r="AX381" s="153"/>
      <c r="AY381" s="153"/>
      <c r="AZ381" s="153"/>
      <c r="BA381" s="153"/>
      <c r="BB381" s="153"/>
      <c r="BC381" s="153"/>
      <c r="BD381" s="153"/>
      <c r="BE381" s="153"/>
      <c r="BF381" s="153"/>
      <c r="BG381" s="153"/>
      <c r="BS381" s="13">
        <v>2</v>
      </c>
      <c r="BT381" s="123">
        <v>44491</v>
      </c>
      <c r="BU381" s="116" t="s">
        <v>8</v>
      </c>
      <c r="BV381" s="115" t="s">
        <v>482</v>
      </c>
      <c r="BW381" s="116" t="s">
        <v>502</v>
      </c>
      <c r="BX381" s="115">
        <v>18400</v>
      </c>
      <c r="BY381" s="115">
        <v>41.7</v>
      </c>
      <c r="BZ381" s="115">
        <v>47.945</v>
      </c>
      <c r="CA381" s="119">
        <v>-3216.6708800000001</v>
      </c>
      <c r="CB381" s="115">
        <v>1.1497601918465228</v>
      </c>
      <c r="CC381" s="115">
        <v>500</v>
      </c>
      <c r="CD381" s="115">
        <v>50</v>
      </c>
      <c r="CE381" s="119">
        <v>20850</v>
      </c>
    </row>
    <row r="382" spans="1:83" hidden="1">
      <c r="A382" s="13">
        <f t="shared" si="753"/>
        <v>375</v>
      </c>
      <c r="B382" s="123">
        <v>44747</v>
      </c>
      <c r="C382" s="116" t="s">
        <v>8</v>
      </c>
      <c r="D382" s="116">
        <v>1</v>
      </c>
      <c r="E382" s="115" t="s">
        <v>481</v>
      </c>
      <c r="F382" s="116" t="s">
        <v>284</v>
      </c>
      <c r="G382" s="115">
        <v>440</v>
      </c>
      <c r="H382" s="117">
        <v>44770</v>
      </c>
      <c r="I382" s="115">
        <v>1425</v>
      </c>
      <c r="J382" s="115">
        <v>7.4</v>
      </c>
      <c r="K382" s="115">
        <v>13.8</v>
      </c>
      <c r="L382" s="119">
        <f t="shared" ca="1" si="1479"/>
        <v>0</v>
      </c>
      <c r="M382" s="119">
        <f t="shared" si="1480"/>
        <v>-9120</v>
      </c>
      <c r="N382" s="115">
        <f t="shared" si="1481"/>
        <v>1.8648648648648649</v>
      </c>
      <c r="O382" s="156">
        <f t="shared" si="1482"/>
        <v>9.25</v>
      </c>
      <c r="P382" s="160">
        <f t="shared" si="754"/>
        <v>10545</v>
      </c>
      <c r="Q382" s="160" t="e">
        <f t="shared" si="1483"/>
        <v>#N/A</v>
      </c>
      <c r="R382" s="153" t="e">
        <f t="shared" ca="1" si="1219"/>
        <v>#VALUE!</v>
      </c>
      <c r="S382" s="119">
        <f t="shared" si="1484"/>
        <v>0.73999999999999988</v>
      </c>
      <c r="T382" s="115" t="e">
        <f>VLOOKUP(TRIM($F382),Reference!B:C,2,0)</f>
        <v>#VALUE!</v>
      </c>
      <c r="U382" s="170">
        <f t="shared" ca="1" si="1485"/>
        <v>0</v>
      </c>
      <c r="V382" s="120" t="str">
        <f t="shared" si="1213"/>
        <v>TATAMOTORS22JUL440CE</v>
      </c>
      <c r="W382" s="158" t="e">
        <f>VLOOKUP($V382,Reference!BA:BD,4,0)</f>
        <v>#N/A</v>
      </c>
      <c r="X382" s="160">
        <f t="shared" ca="1" si="1214"/>
        <v>0</v>
      </c>
      <c r="Y382" s="160">
        <f t="shared" ca="1" si="1215"/>
        <v>0</v>
      </c>
      <c r="Z382" s="160">
        <f t="shared" ca="1" si="1220"/>
        <v>0</v>
      </c>
      <c r="AA382" s="160">
        <f t="shared" ca="1" si="1216"/>
        <v>0</v>
      </c>
      <c r="AB382" s="160">
        <f t="shared" ca="1" si="1217"/>
        <v>0</v>
      </c>
      <c r="AC382" s="119">
        <f t="shared" ca="1" si="1218"/>
        <v>0</v>
      </c>
      <c r="AD382" s="115">
        <f t="shared" ca="1" si="1486"/>
        <v>-1.1342465753424658</v>
      </c>
      <c r="AE382" s="115">
        <f t="shared" si="1487"/>
        <v>20</v>
      </c>
      <c r="AF382" s="115"/>
      <c r="AG382" s="115"/>
      <c r="AH382" s="115">
        <f t="shared" si="755"/>
        <v>5.2725</v>
      </c>
      <c r="AI382" s="115"/>
      <c r="AJ382" s="115">
        <f t="shared" si="756"/>
        <v>0</v>
      </c>
      <c r="AK382" s="115"/>
      <c r="AL382" s="142"/>
      <c r="AM382" s="153"/>
      <c r="AN382" s="153"/>
      <c r="AO382" s="153"/>
      <c r="AP382" s="153"/>
      <c r="AQ382" s="153"/>
      <c r="AR382" s="153"/>
      <c r="AS382" s="153"/>
      <c r="AT382" s="153"/>
      <c r="AU382" s="153"/>
      <c r="AV382" s="153"/>
      <c r="AW382" s="153"/>
      <c r="AX382" s="153"/>
      <c r="AY382" s="153"/>
      <c r="AZ382" s="153"/>
      <c r="BA382" s="153"/>
      <c r="BB382" s="153"/>
      <c r="BC382" s="153"/>
      <c r="BD382" s="153"/>
      <c r="BE382" s="153"/>
      <c r="BF382" s="153"/>
      <c r="BG382" s="153"/>
      <c r="BS382" s="13">
        <v>2</v>
      </c>
      <c r="BT382" s="123">
        <v>44491</v>
      </c>
      <c r="BU382" s="116" t="s">
        <v>8</v>
      </c>
      <c r="BV382" s="115" t="s">
        <v>482</v>
      </c>
      <c r="BW382" s="116" t="s">
        <v>502</v>
      </c>
      <c r="BX382" s="115">
        <v>18400</v>
      </c>
      <c r="BY382" s="115">
        <v>41.7</v>
      </c>
      <c r="BZ382" s="115">
        <v>47.945</v>
      </c>
      <c r="CA382" s="119">
        <v>-3216.6708800000001</v>
      </c>
      <c r="CB382" s="115">
        <v>1.1497601918465228</v>
      </c>
      <c r="CC382" s="115">
        <v>500</v>
      </c>
      <c r="CD382" s="115">
        <v>50</v>
      </c>
      <c r="CE382" s="119">
        <v>20850</v>
      </c>
    </row>
    <row r="383" spans="1:83" hidden="1">
      <c r="A383" s="13">
        <f t="shared" si="753"/>
        <v>376</v>
      </c>
      <c r="B383" s="123">
        <v>44747</v>
      </c>
      <c r="C383" s="116" t="s">
        <v>8</v>
      </c>
      <c r="D383" s="116">
        <v>1</v>
      </c>
      <c r="E383" s="115" t="s">
        <v>481</v>
      </c>
      <c r="F383" s="116" t="s">
        <v>284</v>
      </c>
      <c r="G383" s="115">
        <v>450</v>
      </c>
      <c r="H383" s="117">
        <v>44770</v>
      </c>
      <c r="I383" s="115">
        <v>1425</v>
      </c>
      <c r="J383" s="115">
        <v>5.15</v>
      </c>
      <c r="K383" s="115">
        <v>9.75</v>
      </c>
      <c r="L383" s="119">
        <f t="shared" ref="L383:L384" ca="1" si="1488">IF(AND(K383&lt;&gt;0,I383&lt;&gt;0),(IF(C383="B",1,-1))*(K383-J383)*I383-AK383*2,0)*$D383*IF(MONTH($B$2)=MONTH($H383),1,0)</f>
        <v>0</v>
      </c>
      <c r="M383" s="119">
        <f t="shared" ref="M383:M384" si="1489">IF(AND(K383&lt;&gt;0,I383&lt;&gt;0),(IF(C383="B",1,-1))*(K383-J383)*I383-AK383*2,0)*$D383</f>
        <v>-6554.9999999999991</v>
      </c>
      <c r="N383" s="115">
        <f t="shared" ref="N383:N384" si="1490">K383/$J383</f>
        <v>1.8932038834951455</v>
      </c>
      <c r="O383" s="156">
        <f t="shared" ref="O383:O384" si="1491">J383*(1+$O$6*IF(C383="B",-1,1))</f>
        <v>6.4375</v>
      </c>
      <c r="P383" s="160">
        <f t="shared" si="754"/>
        <v>7338.7500000000009</v>
      </c>
      <c r="Q383" s="160">
        <f t="shared" ref="Q383:Q384" si="1492">(W383-J383)*I383*IF(C383="B",1,-1)*IF(K383=0,1,0)</f>
        <v>0</v>
      </c>
      <c r="R383" s="153" t="e">
        <f t="shared" ca="1" si="1219"/>
        <v>#VALUE!</v>
      </c>
      <c r="S383" s="119">
        <f t="shared" ref="S383:S384" si="1493">(1-$S$6)*J383</f>
        <v>0.5149999999999999</v>
      </c>
      <c r="T383" s="115" t="e">
        <f>VLOOKUP(TRIM($F383),Reference!B:C,2,0)</f>
        <v>#VALUE!</v>
      </c>
      <c r="U383" s="170">
        <f t="shared" ref="U383:U384" ca="1" si="1494">AC383</f>
        <v>0</v>
      </c>
      <c r="V383" s="120" t="str">
        <f t="shared" si="1213"/>
        <v>TATAMOTORS22JUL450CE</v>
      </c>
      <c r="W383" s="158">
        <f>VLOOKUP($V383,Reference!BA:BD,4,0)</f>
        <v>4.75</v>
      </c>
      <c r="X383" s="160">
        <f t="shared" ca="1" si="1214"/>
        <v>0</v>
      </c>
      <c r="Y383" s="160">
        <f t="shared" ca="1" si="1215"/>
        <v>0</v>
      </c>
      <c r="Z383" s="160">
        <f t="shared" ca="1" si="1220"/>
        <v>0</v>
      </c>
      <c r="AA383" s="160">
        <f t="shared" ca="1" si="1216"/>
        <v>0</v>
      </c>
      <c r="AB383" s="160">
        <f t="shared" ca="1" si="1217"/>
        <v>0</v>
      </c>
      <c r="AC383" s="119">
        <f t="shared" ca="1" si="1218"/>
        <v>0</v>
      </c>
      <c r="AD383" s="115">
        <f t="shared" ref="AD383:AD384" ca="1" si="1495">(H383-TODAY())/365</f>
        <v>-1.1342465753424658</v>
      </c>
      <c r="AE383" s="115">
        <f t="shared" ref="AE383:AE384" si="1496">IF(I383&lt;&gt;0,20,0)</f>
        <v>20</v>
      </c>
      <c r="AF383" s="115"/>
      <c r="AG383" s="115"/>
      <c r="AH383" s="115">
        <f t="shared" si="755"/>
        <v>3.6693750000000005</v>
      </c>
      <c r="AI383" s="115"/>
      <c r="AJ383" s="115">
        <f t="shared" si="756"/>
        <v>0</v>
      </c>
      <c r="AK383" s="115"/>
      <c r="AL383" s="142"/>
      <c r="AM383" s="153"/>
      <c r="AN383" s="153"/>
      <c r="AO383" s="153"/>
      <c r="AP383" s="153"/>
      <c r="AQ383" s="153"/>
      <c r="AR383" s="153"/>
      <c r="AS383" s="153"/>
      <c r="AT383" s="153"/>
      <c r="AU383" s="153"/>
      <c r="AV383" s="153"/>
      <c r="AW383" s="153"/>
      <c r="AX383" s="153"/>
      <c r="AY383" s="153"/>
      <c r="AZ383" s="153"/>
      <c r="BA383" s="153"/>
      <c r="BB383" s="153"/>
      <c r="BC383" s="153"/>
      <c r="BD383" s="153"/>
      <c r="BE383" s="153"/>
      <c r="BF383" s="153"/>
      <c r="BG383" s="153"/>
      <c r="BS383" s="13">
        <v>2</v>
      </c>
      <c r="BT383" s="123">
        <v>44491</v>
      </c>
      <c r="BU383" s="116" t="s">
        <v>8</v>
      </c>
      <c r="BV383" s="115" t="s">
        <v>482</v>
      </c>
      <c r="BW383" s="116" t="s">
        <v>502</v>
      </c>
      <c r="BX383" s="115">
        <v>18400</v>
      </c>
      <c r="BY383" s="115">
        <v>41.7</v>
      </c>
      <c r="BZ383" s="115">
        <v>47.945</v>
      </c>
      <c r="CA383" s="119">
        <v>-3216.6708800000001</v>
      </c>
      <c r="CB383" s="115">
        <v>1.1497601918465228</v>
      </c>
      <c r="CC383" s="115">
        <v>500</v>
      </c>
      <c r="CD383" s="115">
        <v>50</v>
      </c>
      <c r="CE383" s="119">
        <v>20850</v>
      </c>
    </row>
    <row r="384" spans="1:83">
      <c r="A384" s="13">
        <f t="shared" si="753"/>
        <v>377</v>
      </c>
      <c r="B384" s="123">
        <v>44747</v>
      </c>
      <c r="C384" s="116" t="s">
        <v>6</v>
      </c>
      <c r="D384" s="116">
        <v>1</v>
      </c>
      <c r="E384" s="115" t="s">
        <v>482</v>
      </c>
      <c r="F384" s="116" t="s">
        <v>104</v>
      </c>
      <c r="G384" s="115">
        <v>2360</v>
      </c>
      <c r="H384" s="117">
        <v>44770</v>
      </c>
      <c r="I384" s="115">
        <v>300</v>
      </c>
      <c r="J384" s="115">
        <v>46.05</v>
      </c>
      <c r="K384" s="115">
        <v>13.4</v>
      </c>
      <c r="L384" s="119">
        <f t="shared" ca="1" si="1488"/>
        <v>0</v>
      </c>
      <c r="M384" s="119">
        <f t="shared" si="1489"/>
        <v>-9795</v>
      </c>
      <c r="N384" s="115">
        <f t="shared" si="1490"/>
        <v>0.29098805646036918</v>
      </c>
      <c r="O384" s="156">
        <f t="shared" si="1491"/>
        <v>34.537499999999994</v>
      </c>
      <c r="P384" s="160">
        <f t="shared" si="754"/>
        <v>13815</v>
      </c>
      <c r="Q384" s="160" t="e">
        <f t="shared" si="1492"/>
        <v>#N/A</v>
      </c>
      <c r="R384" s="153" t="e">
        <f t="shared" ca="1" si="1219"/>
        <v>#VALUE!</v>
      </c>
      <c r="S384" s="119">
        <f t="shared" si="1493"/>
        <v>4.6049999999999986</v>
      </c>
      <c r="T384" s="115" t="e">
        <f>VLOOKUP(TRIM($F384),Reference!B:C,2,0)</f>
        <v>#VALUE!</v>
      </c>
      <c r="U384" s="170">
        <f t="shared" ca="1" si="1494"/>
        <v>0</v>
      </c>
      <c r="V384" s="120" t="str">
        <f t="shared" si="1213"/>
        <v>HINDUNILVR22JUL2360PE</v>
      </c>
      <c r="W384" s="158" t="e">
        <f>VLOOKUP($V384,Reference!BA:BD,4,0)</f>
        <v>#N/A</v>
      </c>
      <c r="X384" s="160">
        <f t="shared" ca="1" si="1214"/>
        <v>0</v>
      </c>
      <c r="Y384" s="160">
        <f t="shared" ca="1" si="1215"/>
        <v>0</v>
      </c>
      <c r="Z384" s="160">
        <f t="shared" ca="1" si="1220"/>
        <v>0</v>
      </c>
      <c r="AA384" s="160">
        <f t="shared" ca="1" si="1216"/>
        <v>0</v>
      </c>
      <c r="AB384" s="160">
        <f t="shared" ca="1" si="1217"/>
        <v>0</v>
      </c>
      <c r="AC384" s="119">
        <f t="shared" ca="1" si="1218"/>
        <v>0</v>
      </c>
      <c r="AD384" s="115">
        <f t="shared" ca="1" si="1495"/>
        <v>-1.1342465753424658</v>
      </c>
      <c r="AE384" s="115">
        <f t="shared" si="1496"/>
        <v>20</v>
      </c>
      <c r="AF384" s="115"/>
      <c r="AG384" s="115"/>
      <c r="AH384" s="115">
        <f t="shared" si="755"/>
        <v>0</v>
      </c>
      <c r="AI384" s="115"/>
      <c r="AJ384" s="115">
        <f t="shared" si="756"/>
        <v>0.41444999999999999</v>
      </c>
      <c r="AK384" s="115"/>
      <c r="AL384" s="142"/>
      <c r="AM384" s="153"/>
      <c r="AN384" s="153"/>
      <c r="AO384" s="153"/>
      <c r="AP384" s="153"/>
      <c r="AQ384" s="153"/>
      <c r="AR384" s="153"/>
      <c r="AS384" s="153"/>
      <c r="AT384" s="153"/>
      <c r="AU384" s="153"/>
      <c r="AV384" s="153"/>
      <c r="AW384" s="153"/>
      <c r="AX384" s="153"/>
      <c r="AY384" s="153"/>
      <c r="AZ384" s="153"/>
      <c r="BA384" s="153"/>
      <c r="BB384" s="153"/>
      <c r="BC384" s="153"/>
      <c r="BD384" s="153"/>
      <c r="BE384" s="153"/>
      <c r="BF384" s="153"/>
      <c r="BG384" s="153"/>
      <c r="BS384" s="13">
        <v>2</v>
      </c>
      <c r="BT384" s="123">
        <v>44491</v>
      </c>
      <c r="BU384" s="116" t="s">
        <v>8</v>
      </c>
      <c r="BV384" s="115" t="s">
        <v>482</v>
      </c>
      <c r="BW384" s="116" t="s">
        <v>502</v>
      </c>
      <c r="BX384" s="115">
        <v>18400</v>
      </c>
      <c r="BY384" s="115">
        <v>41.7</v>
      </c>
      <c r="BZ384" s="115">
        <v>47.945</v>
      </c>
      <c r="CA384" s="119">
        <v>-3216.6708800000001</v>
      </c>
      <c r="CB384" s="115">
        <v>1.1497601918465228</v>
      </c>
      <c r="CC384" s="115">
        <v>500</v>
      </c>
      <c r="CD384" s="115">
        <v>50</v>
      </c>
      <c r="CE384" s="119">
        <v>20850</v>
      </c>
    </row>
    <row r="385" spans="1:83" hidden="1">
      <c r="A385" s="13">
        <f t="shared" si="753"/>
        <v>378</v>
      </c>
      <c r="B385" s="123">
        <v>44747</v>
      </c>
      <c r="C385" s="116" t="s">
        <v>6</v>
      </c>
      <c r="D385" s="116">
        <v>1</v>
      </c>
      <c r="E385" s="115" t="s">
        <v>482</v>
      </c>
      <c r="F385" s="116" t="s">
        <v>284</v>
      </c>
      <c r="G385" s="115">
        <v>410</v>
      </c>
      <c r="H385" s="117">
        <v>44770</v>
      </c>
      <c r="I385" s="115">
        <v>1425</v>
      </c>
      <c r="J385" s="115">
        <v>12.95</v>
      </c>
      <c r="K385" s="115">
        <v>0</v>
      </c>
      <c r="L385" s="119">
        <f t="shared" ref="L385:L386" ca="1" si="1497">IF(AND(K385&lt;&gt;0,I385&lt;&gt;0),(IF(C385="B",1,-1))*(K385-J385)*I385-AK385*2,0)*$D385*IF(MONTH($B$2)=MONTH($H385),1,0)</f>
        <v>0</v>
      </c>
      <c r="M385" s="119">
        <f t="shared" ref="M385:M387" si="1498">IF(AND(K385&lt;&gt;0,I385&lt;&gt;0),(IF(C385="B",1,-1))*(K385-J385)*I385-AK385*2,0)*$D385</f>
        <v>0</v>
      </c>
      <c r="N385" s="115">
        <f t="shared" ref="N385:N387" si="1499">K385/$J385</f>
        <v>0</v>
      </c>
      <c r="O385" s="156">
        <f t="shared" ref="O385:O387" si="1500">J385*(1+$O$6*IF(C385="B",-1,1))</f>
        <v>9.7124999999999986</v>
      </c>
      <c r="P385" s="160">
        <f t="shared" si="754"/>
        <v>18453.75</v>
      </c>
      <c r="Q385" s="160" t="e">
        <f t="shared" ref="Q385:Q387" si="1501">(W385-J385)*I385*IF(C385="B",1,-1)*IF(K385=0,1,0)</f>
        <v>#N/A</v>
      </c>
      <c r="R385" s="153" t="e">
        <f t="shared" ca="1" si="1219"/>
        <v>#VALUE!</v>
      </c>
      <c r="S385" s="119">
        <f t="shared" ref="S385:S387" si="1502">(1-$S$6)*J385</f>
        <v>1.2949999999999997</v>
      </c>
      <c r="T385" s="115" t="e">
        <f>VLOOKUP(TRIM($F385),Reference!B:C,2,0)</f>
        <v>#VALUE!</v>
      </c>
      <c r="U385" s="170">
        <f t="shared" ref="U385:U387" ca="1" si="1503">AC385</f>
        <v>0</v>
      </c>
      <c r="V385" s="120" t="str">
        <f t="shared" si="1213"/>
        <v>TATAMOTORS22JUL410PE</v>
      </c>
      <c r="W385" s="158" t="e">
        <f>VLOOKUP($V385,Reference!BA:BD,4,0)</f>
        <v>#N/A</v>
      </c>
      <c r="X385" s="160">
        <f t="shared" ca="1" si="1214"/>
        <v>0</v>
      </c>
      <c r="Y385" s="160">
        <f t="shared" ca="1" si="1215"/>
        <v>0</v>
      </c>
      <c r="Z385" s="160">
        <f t="shared" ca="1" si="1220"/>
        <v>0</v>
      </c>
      <c r="AA385" s="160">
        <f t="shared" ca="1" si="1216"/>
        <v>0</v>
      </c>
      <c r="AB385" s="160">
        <f t="shared" ca="1" si="1217"/>
        <v>0</v>
      </c>
      <c r="AC385" s="119">
        <f t="shared" ca="1" si="1218"/>
        <v>0</v>
      </c>
      <c r="AD385" s="115">
        <f t="shared" ref="AD385:AD387" ca="1" si="1504">(H385-TODAY())/365</f>
        <v>-1.1342465753424658</v>
      </c>
      <c r="AE385" s="115">
        <f t="shared" ref="AE385:AE387" si="1505">IF(I385&lt;&gt;0,20,0)</f>
        <v>20</v>
      </c>
      <c r="AF385" s="115"/>
      <c r="AG385" s="115"/>
      <c r="AH385" s="115">
        <f t="shared" si="755"/>
        <v>0</v>
      </c>
      <c r="AI385" s="115"/>
      <c r="AJ385" s="115">
        <f t="shared" si="756"/>
        <v>0.55361250000000006</v>
      </c>
      <c r="AK385" s="115"/>
      <c r="AL385" s="142"/>
      <c r="AM385" s="153"/>
      <c r="AN385" s="153"/>
      <c r="AO385" s="153"/>
      <c r="AP385" s="153"/>
      <c r="AQ385" s="153"/>
      <c r="AR385" s="153"/>
      <c r="AS385" s="153"/>
      <c r="AT385" s="153"/>
      <c r="AU385" s="153"/>
      <c r="AV385" s="153"/>
      <c r="AW385" s="153"/>
      <c r="AX385" s="153"/>
      <c r="AY385" s="153"/>
      <c r="AZ385" s="153"/>
      <c r="BA385" s="153"/>
      <c r="BB385" s="153"/>
      <c r="BC385" s="153"/>
      <c r="BD385" s="153"/>
      <c r="BE385" s="153"/>
      <c r="BF385" s="153"/>
      <c r="BG385" s="153"/>
      <c r="BS385" s="13">
        <v>2</v>
      </c>
      <c r="BT385" s="123">
        <v>44491</v>
      </c>
      <c r="BU385" s="116" t="s">
        <v>8</v>
      </c>
      <c r="BV385" s="115" t="s">
        <v>482</v>
      </c>
      <c r="BW385" s="116" t="s">
        <v>502</v>
      </c>
      <c r="BX385" s="115">
        <v>18400</v>
      </c>
      <c r="BY385" s="115">
        <v>41.7</v>
      </c>
      <c r="BZ385" s="115">
        <v>47.945</v>
      </c>
      <c r="CA385" s="119">
        <v>-3216.6708800000001</v>
      </c>
      <c r="CB385" s="115">
        <v>1.1497601918465228</v>
      </c>
      <c r="CC385" s="115">
        <v>500</v>
      </c>
      <c r="CD385" s="115">
        <v>50</v>
      </c>
      <c r="CE385" s="119">
        <v>20850</v>
      </c>
    </row>
    <row r="386" spans="1:83">
      <c r="A386" s="13">
        <f t="shared" si="753"/>
        <v>379</v>
      </c>
      <c r="B386" s="123">
        <v>44747</v>
      </c>
      <c r="C386" s="116" t="s">
        <v>8</v>
      </c>
      <c r="D386" s="116">
        <v>1</v>
      </c>
      <c r="E386" s="115" t="s">
        <v>481</v>
      </c>
      <c r="F386" s="116" t="s">
        <v>104</v>
      </c>
      <c r="G386" s="115">
        <v>2480</v>
      </c>
      <c r="H386" s="117">
        <v>44770</v>
      </c>
      <c r="I386" s="115">
        <v>300</v>
      </c>
      <c r="J386" s="115">
        <v>23.65</v>
      </c>
      <c r="K386" s="115">
        <v>0</v>
      </c>
      <c r="L386" s="119">
        <f t="shared" ca="1" si="1497"/>
        <v>0</v>
      </c>
      <c r="M386" s="119">
        <f t="shared" si="1498"/>
        <v>0</v>
      </c>
      <c r="N386" s="115">
        <f t="shared" si="1499"/>
        <v>0</v>
      </c>
      <c r="O386" s="156">
        <f t="shared" si="1500"/>
        <v>29.5625</v>
      </c>
      <c r="P386" s="160">
        <f t="shared" si="754"/>
        <v>7095</v>
      </c>
      <c r="Q386" s="160">
        <f t="shared" si="1501"/>
        <v>-12075</v>
      </c>
      <c r="R386" s="153" t="e">
        <f t="shared" ca="1" si="1219"/>
        <v>#VALUE!</v>
      </c>
      <c r="S386" s="119">
        <f t="shared" si="1502"/>
        <v>2.3649999999999993</v>
      </c>
      <c r="T386" s="115" t="e">
        <f>VLOOKUP(TRIM($F386),Reference!B:C,2,0)</f>
        <v>#VALUE!</v>
      </c>
      <c r="U386" s="170">
        <f t="shared" ca="1" si="1503"/>
        <v>0</v>
      </c>
      <c r="V386" s="120" t="str">
        <f t="shared" si="1213"/>
        <v>HINDUNILVR22JUL2480CE</v>
      </c>
      <c r="W386" s="158">
        <f>VLOOKUP($V386,Reference!BA:BD,4,0)</f>
        <v>63.9</v>
      </c>
      <c r="X386" s="160">
        <f t="shared" ca="1" si="1214"/>
        <v>0</v>
      </c>
      <c r="Y386" s="160">
        <f t="shared" ca="1" si="1215"/>
        <v>0</v>
      </c>
      <c r="Z386" s="160">
        <f t="shared" ca="1" si="1220"/>
        <v>0</v>
      </c>
      <c r="AA386" s="160">
        <f t="shared" ca="1" si="1216"/>
        <v>0</v>
      </c>
      <c r="AB386" s="160">
        <f t="shared" ca="1" si="1217"/>
        <v>0</v>
      </c>
      <c r="AC386" s="119">
        <f t="shared" ca="1" si="1218"/>
        <v>0</v>
      </c>
      <c r="AD386" s="115">
        <f t="shared" ca="1" si="1504"/>
        <v>-1.1342465753424658</v>
      </c>
      <c r="AE386" s="115">
        <f t="shared" si="1505"/>
        <v>20</v>
      </c>
      <c r="AF386" s="115"/>
      <c r="AG386" s="115"/>
      <c r="AH386" s="115">
        <f t="shared" si="755"/>
        <v>3.5474999999999999</v>
      </c>
      <c r="AI386" s="115"/>
      <c r="AJ386" s="115">
        <f t="shared" si="756"/>
        <v>0</v>
      </c>
      <c r="AK386" s="115"/>
      <c r="AL386" s="142"/>
      <c r="AM386" s="153"/>
      <c r="AN386" s="153"/>
      <c r="AO386" s="153"/>
      <c r="AP386" s="153"/>
      <c r="AQ386" s="153"/>
      <c r="AR386" s="153"/>
      <c r="AS386" s="153"/>
      <c r="AT386" s="153"/>
      <c r="AU386" s="153"/>
      <c r="AV386" s="153"/>
      <c r="AW386" s="153"/>
      <c r="AX386" s="153"/>
      <c r="AY386" s="153"/>
      <c r="AZ386" s="153"/>
      <c r="BA386" s="153"/>
      <c r="BB386" s="153"/>
      <c r="BC386" s="153"/>
      <c r="BD386" s="153"/>
      <c r="BE386" s="153"/>
      <c r="BF386" s="153"/>
      <c r="BG386" s="153"/>
      <c r="BS386" s="13">
        <v>2</v>
      </c>
      <c r="BT386" s="123">
        <v>44491</v>
      </c>
      <c r="BU386" s="116" t="s">
        <v>8</v>
      </c>
      <c r="BV386" s="115" t="s">
        <v>482</v>
      </c>
      <c r="BW386" s="116" t="s">
        <v>502</v>
      </c>
      <c r="BX386" s="115">
        <v>18400</v>
      </c>
      <c r="BY386" s="115">
        <v>41.7</v>
      </c>
      <c r="BZ386" s="115">
        <v>47.945</v>
      </c>
      <c r="CA386" s="119">
        <v>-3216.6708800000001</v>
      </c>
      <c r="CB386" s="115">
        <v>1.1497601918465228</v>
      </c>
      <c r="CC386" s="115">
        <v>500</v>
      </c>
      <c r="CD386" s="115">
        <v>50</v>
      </c>
      <c r="CE386" s="119">
        <v>20850</v>
      </c>
    </row>
    <row r="387" spans="1:83">
      <c r="A387" s="13">
        <f t="shared" si="753"/>
        <v>380</v>
      </c>
      <c r="B387" s="123">
        <v>44747</v>
      </c>
      <c r="C387" s="116" t="s">
        <v>6</v>
      </c>
      <c r="D387" s="116">
        <v>1</v>
      </c>
      <c r="E387" s="115" t="s">
        <v>632</v>
      </c>
      <c r="F387" s="116" t="s">
        <v>104</v>
      </c>
      <c r="G387" s="115" t="s">
        <v>568</v>
      </c>
      <c r="H387" s="117">
        <v>44798</v>
      </c>
      <c r="I387" s="115">
        <v>300</v>
      </c>
      <c r="J387" s="115">
        <v>2401.6</v>
      </c>
      <c r="K387" s="115">
        <v>2560</v>
      </c>
      <c r="L387" s="119">
        <f ca="1">IF(AND(K387&lt;&gt;0,I387&lt;&gt;0),(IF(C387="B",1,-1))*(K387-J387)*I387-AK387*2,0)*$D387*IF(MONTH($B$2)=MONTH($H387),1,0)</f>
        <v>0</v>
      </c>
      <c r="M387" s="119">
        <f t="shared" si="1498"/>
        <v>47520.000000000029</v>
      </c>
      <c r="N387" s="115">
        <f t="shared" si="1499"/>
        <v>1.0659560293137909</v>
      </c>
      <c r="O387" s="156">
        <f t="shared" si="1500"/>
        <v>1801.1999999999998</v>
      </c>
      <c r="P387" s="160">
        <f t="shared" si="754"/>
        <v>720480</v>
      </c>
      <c r="Q387" s="160">
        <f t="shared" si="1501"/>
        <v>0</v>
      </c>
      <c r="R387" s="153" t="e">
        <f t="shared" ca="1" si="1219"/>
        <v>#VALUE!</v>
      </c>
      <c r="S387" s="119">
        <f t="shared" si="1502"/>
        <v>240.15999999999994</v>
      </c>
      <c r="T387" s="115" t="e">
        <f>VLOOKUP(TRIM($F387),Reference!B:C,2,0)</f>
        <v>#VALUE!</v>
      </c>
      <c r="U387" s="170">
        <f t="shared" ca="1" si="1503"/>
        <v>0</v>
      </c>
      <c r="V387" s="120" t="str">
        <f t="shared" si="1213"/>
        <v>HINDUNILVR22AUGFUT</v>
      </c>
      <c r="W387" s="158">
        <f>VLOOKUP($V387,Reference!BA:BD,4,0)</f>
        <v>2510.85</v>
      </c>
      <c r="X387" s="160">
        <f t="shared" ca="1" si="1214"/>
        <v>0</v>
      </c>
      <c r="Y387" s="160">
        <f t="shared" ca="1" si="1215"/>
        <v>0</v>
      </c>
      <c r="Z387" s="160">
        <f t="shared" ca="1" si="1220"/>
        <v>0</v>
      </c>
      <c r="AA387" s="160">
        <f t="shared" ca="1" si="1216"/>
        <v>0</v>
      </c>
      <c r="AB387" s="160">
        <f t="shared" ca="1" si="1217"/>
        <v>0</v>
      </c>
      <c r="AC387" s="119">
        <f t="shared" ca="1" si="1218"/>
        <v>0</v>
      </c>
      <c r="AD387" s="115">
        <f t="shared" ca="1" si="1504"/>
        <v>-1.0575342465753426</v>
      </c>
      <c r="AE387" s="115">
        <f t="shared" si="1505"/>
        <v>20</v>
      </c>
      <c r="AF387" s="115"/>
      <c r="AG387" s="115"/>
      <c r="AH387" s="115">
        <f t="shared" si="755"/>
        <v>0</v>
      </c>
      <c r="AI387" s="115"/>
      <c r="AJ387" s="115">
        <f t="shared" si="756"/>
        <v>21.6144</v>
      </c>
      <c r="AK387" s="115"/>
      <c r="AL387" s="142"/>
      <c r="AM387" s="153"/>
      <c r="AN387" s="153"/>
      <c r="AO387" s="153"/>
      <c r="AP387" s="153"/>
      <c r="AQ387" s="153"/>
      <c r="AR387" s="153"/>
      <c r="AS387" s="153"/>
      <c r="AT387" s="153"/>
      <c r="AU387" s="153"/>
      <c r="AV387" s="153"/>
      <c r="AW387" s="153"/>
      <c r="AX387" s="153"/>
      <c r="AY387" s="153"/>
      <c r="AZ387" s="153"/>
      <c r="BA387" s="153"/>
      <c r="BB387" s="153"/>
      <c r="BC387" s="153"/>
      <c r="BD387" s="153"/>
      <c r="BE387" s="153"/>
      <c r="BF387" s="153"/>
      <c r="BG387" s="153"/>
      <c r="BS387" s="13">
        <v>2</v>
      </c>
      <c r="BT387" s="123">
        <v>44491</v>
      </c>
      <c r="BU387" s="116" t="s">
        <v>8</v>
      </c>
      <c r="BV387" s="115" t="s">
        <v>482</v>
      </c>
      <c r="BW387" s="116" t="s">
        <v>502</v>
      </c>
      <c r="BX387" s="115">
        <v>18400</v>
      </c>
      <c r="BY387" s="115">
        <v>41.7</v>
      </c>
      <c r="BZ387" s="115">
        <v>47.945</v>
      </c>
      <c r="CA387" s="119">
        <v>-3216.6708800000001</v>
      </c>
      <c r="CB387" s="115">
        <v>1.1497601918465228</v>
      </c>
      <c r="CC387" s="115">
        <v>500</v>
      </c>
      <c r="CD387" s="115">
        <v>50</v>
      </c>
      <c r="CE387" s="119">
        <v>20850</v>
      </c>
    </row>
    <row r="388" spans="1:83" hidden="1">
      <c r="A388" s="13">
        <f t="shared" si="753"/>
        <v>381</v>
      </c>
      <c r="B388" s="123">
        <v>44747</v>
      </c>
      <c r="C388" s="116" t="s">
        <v>8</v>
      </c>
      <c r="D388" s="116">
        <v>1</v>
      </c>
      <c r="E388" s="115" t="s">
        <v>481</v>
      </c>
      <c r="F388" s="116" t="s">
        <v>126</v>
      </c>
      <c r="G388" s="115">
        <v>175</v>
      </c>
      <c r="H388" s="117">
        <v>44770</v>
      </c>
      <c r="I388" s="115">
        <v>3750</v>
      </c>
      <c r="J388" s="115">
        <v>2.4500000000000002</v>
      </c>
      <c r="K388" s="115">
        <v>0</v>
      </c>
      <c r="L388" s="119">
        <f t="shared" ref="L388:L389" ca="1" si="1506">IF(AND(K388&lt;&gt;0,I388&lt;&gt;0),(IF(C388="B",1,-1))*(K388-J388)*I388-AK388*2,0)*$D388*IF(MONTH($B$2)=MONTH($H388),1,0)</f>
        <v>0</v>
      </c>
      <c r="M388" s="119">
        <f t="shared" ref="M388:M389" si="1507">IF(AND(K388&lt;&gt;0,I388&lt;&gt;0),(IF(C388="B",1,-1))*(K388-J388)*I388-AK388*2,0)*$D388</f>
        <v>0</v>
      </c>
      <c r="N388" s="115">
        <f t="shared" ref="N388:N389" si="1508">K388/$J388</f>
        <v>0</v>
      </c>
      <c r="O388" s="156">
        <f t="shared" ref="O388:O389" si="1509">J388*(1+$O$6*IF(C388="B",-1,1))</f>
        <v>3.0625</v>
      </c>
      <c r="P388" s="160">
        <f t="shared" si="754"/>
        <v>9187.5</v>
      </c>
      <c r="Q388" s="160">
        <f t="shared" ref="Q388:Q389" si="1510">(W388-J388)*I388*IF(C388="B",1,-1)*IF(K388=0,1,0)</f>
        <v>2062.5000000000009</v>
      </c>
      <c r="R388" s="153" t="e">
        <f t="shared" ca="1" si="1219"/>
        <v>#VALUE!</v>
      </c>
      <c r="S388" s="119">
        <f t="shared" ref="S388:S389" si="1511">(1-$S$6)*J388</f>
        <v>0.24499999999999997</v>
      </c>
      <c r="T388" s="115" t="e">
        <f>VLOOKUP(TRIM($F388),Reference!B:C,2,0)</f>
        <v>#VALUE!</v>
      </c>
      <c r="U388" s="170">
        <f t="shared" ref="U388:U389" ca="1" si="1512">AC388</f>
        <v>0</v>
      </c>
      <c r="V388" s="120" t="str">
        <f t="shared" si="1213"/>
        <v>IEX22JUL175CE</v>
      </c>
      <c r="W388" s="158">
        <f>VLOOKUP($V388,Reference!BA:BD,4,0)</f>
        <v>1.9</v>
      </c>
      <c r="X388" s="160">
        <f t="shared" ca="1" si="1214"/>
        <v>0</v>
      </c>
      <c r="Y388" s="160">
        <f t="shared" ca="1" si="1215"/>
        <v>0</v>
      </c>
      <c r="Z388" s="160">
        <f t="shared" ca="1" si="1220"/>
        <v>0</v>
      </c>
      <c r="AA388" s="160">
        <f t="shared" ca="1" si="1216"/>
        <v>0</v>
      </c>
      <c r="AB388" s="160">
        <f t="shared" ca="1" si="1217"/>
        <v>0</v>
      </c>
      <c r="AC388" s="119">
        <f t="shared" ca="1" si="1218"/>
        <v>0</v>
      </c>
      <c r="AD388" s="115">
        <f t="shared" ref="AD388:AD389" ca="1" si="1513">(H388-TODAY())/365</f>
        <v>-1.1342465753424658</v>
      </c>
      <c r="AE388" s="115">
        <f t="shared" ref="AE388:AE389" si="1514">IF(I388&lt;&gt;0,20,0)</f>
        <v>20</v>
      </c>
      <c r="AF388" s="115"/>
      <c r="AG388" s="115"/>
      <c r="AH388" s="115">
        <f t="shared" si="755"/>
        <v>4.59375</v>
      </c>
      <c r="AI388" s="115"/>
      <c r="AJ388" s="115">
        <f t="shared" si="756"/>
        <v>0</v>
      </c>
      <c r="AK388" s="115"/>
      <c r="AL388" s="142"/>
      <c r="AM388" s="153"/>
      <c r="AN388" s="153"/>
      <c r="AO388" s="153"/>
      <c r="AP388" s="153"/>
      <c r="AQ388" s="153"/>
      <c r="AR388" s="153"/>
      <c r="AS388" s="153"/>
      <c r="AT388" s="153"/>
      <c r="AU388" s="153"/>
      <c r="AV388" s="153"/>
      <c r="AW388" s="153"/>
      <c r="AX388" s="153"/>
      <c r="AY388" s="153"/>
      <c r="AZ388" s="153"/>
      <c r="BA388" s="153"/>
      <c r="BB388" s="153"/>
      <c r="BC388" s="153"/>
      <c r="BD388" s="153"/>
      <c r="BE388" s="153"/>
      <c r="BF388" s="153"/>
      <c r="BG388" s="153"/>
      <c r="BS388" s="13">
        <v>2</v>
      </c>
      <c r="BT388" s="123">
        <v>44491</v>
      </c>
      <c r="BU388" s="116" t="s">
        <v>8</v>
      </c>
      <c r="BV388" s="115" t="s">
        <v>482</v>
      </c>
      <c r="BW388" s="116" t="s">
        <v>502</v>
      </c>
      <c r="BX388" s="115">
        <v>18400</v>
      </c>
      <c r="BY388" s="115">
        <v>41.7</v>
      </c>
      <c r="BZ388" s="115">
        <v>47.945</v>
      </c>
      <c r="CA388" s="119">
        <v>-3216.6708800000001</v>
      </c>
      <c r="CB388" s="115">
        <v>1.1497601918465228</v>
      </c>
      <c r="CC388" s="115">
        <v>500</v>
      </c>
      <c r="CD388" s="115">
        <v>50</v>
      </c>
      <c r="CE388" s="119">
        <v>20850</v>
      </c>
    </row>
    <row r="389" spans="1:83" hidden="1">
      <c r="A389" s="13">
        <f t="shared" si="753"/>
        <v>382</v>
      </c>
      <c r="B389" s="123">
        <v>44747</v>
      </c>
      <c r="C389" s="116" t="s">
        <v>6</v>
      </c>
      <c r="D389" s="116">
        <v>1</v>
      </c>
      <c r="E389" s="115" t="s">
        <v>482</v>
      </c>
      <c r="F389" s="116" t="s">
        <v>284</v>
      </c>
      <c r="G389" s="115">
        <v>410</v>
      </c>
      <c r="H389" s="117">
        <v>44770</v>
      </c>
      <c r="I389" s="115">
        <v>1425</v>
      </c>
      <c r="J389" s="115">
        <v>12.95</v>
      </c>
      <c r="K389" s="115">
        <v>0</v>
      </c>
      <c r="L389" s="119">
        <f t="shared" ca="1" si="1506"/>
        <v>0</v>
      </c>
      <c r="M389" s="119">
        <f t="shared" si="1507"/>
        <v>0</v>
      </c>
      <c r="N389" s="115">
        <f t="shared" si="1508"/>
        <v>0</v>
      </c>
      <c r="O389" s="156">
        <f t="shared" si="1509"/>
        <v>9.7124999999999986</v>
      </c>
      <c r="P389" s="160">
        <f t="shared" si="754"/>
        <v>18453.75</v>
      </c>
      <c r="Q389" s="160" t="e">
        <f t="shared" si="1510"/>
        <v>#N/A</v>
      </c>
      <c r="R389" s="153" t="e">
        <f t="shared" ca="1" si="1219"/>
        <v>#VALUE!</v>
      </c>
      <c r="S389" s="119">
        <f t="shared" si="1511"/>
        <v>1.2949999999999997</v>
      </c>
      <c r="T389" s="115" t="e">
        <f>VLOOKUP(TRIM($F389),Reference!B:C,2,0)</f>
        <v>#VALUE!</v>
      </c>
      <c r="U389" s="170">
        <f t="shared" ca="1" si="1512"/>
        <v>0</v>
      </c>
      <c r="V389" s="120" t="str">
        <f t="shared" si="1213"/>
        <v>TATAMOTORS22JUL410PE</v>
      </c>
      <c r="W389" s="158" t="e">
        <f>VLOOKUP($V389,Reference!BA:BD,4,0)</f>
        <v>#N/A</v>
      </c>
      <c r="X389" s="160">
        <f t="shared" ca="1" si="1214"/>
        <v>0</v>
      </c>
      <c r="Y389" s="160">
        <f t="shared" ca="1" si="1215"/>
        <v>0</v>
      </c>
      <c r="Z389" s="160">
        <f t="shared" ca="1" si="1220"/>
        <v>0</v>
      </c>
      <c r="AA389" s="160">
        <f t="shared" ca="1" si="1216"/>
        <v>0</v>
      </c>
      <c r="AB389" s="160">
        <f t="shared" ca="1" si="1217"/>
        <v>0</v>
      </c>
      <c r="AC389" s="119">
        <f t="shared" ca="1" si="1218"/>
        <v>0</v>
      </c>
      <c r="AD389" s="115">
        <f t="shared" ca="1" si="1513"/>
        <v>-1.1342465753424658</v>
      </c>
      <c r="AE389" s="115">
        <f t="shared" si="1514"/>
        <v>20</v>
      </c>
      <c r="AF389" s="115"/>
      <c r="AG389" s="115"/>
      <c r="AH389" s="115">
        <f t="shared" si="755"/>
        <v>0</v>
      </c>
      <c r="AI389" s="115"/>
      <c r="AJ389" s="115">
        <f t="shared" si="756"/>
        <v>0.55361250000000006</v>
      </c>
      <c r="AK389" s="115"/>
      <c r="AL389" s="142"/>
      <c r="AM389" s="153"/>
      <c r="AN389" s="153"/>
      <c r="AO389" s="153"/>
      <c r="AP389" s="153"/>
      <c r="AQ389" s="153"/>
      <c r="AR389" s="153"/>
      <c r="AS389" s="153"/>
      <c r="AT389" s="153"/>
      <c r="AU389" s="153"/>
      <c r="AV389" s="153"/>
      <c r="AW389" s="153"/>
      <c r="AX389" s="153"/>
      <c r="AY389" s="153"/>
      <c r="AZ389" s="153"/>
      <c r="BA389" s="153"/>
      <c r="BB389" s="153"/>
      <c r="BC389" s="153"/>
      <c r="BD389" s="153"/>
      <c r="BE389" s="153"/>
      <c r="BF389" s="153"/>
      <c r="BG389" s="153"/>
      <c r="BS389" s="13">
        <v>2</v>
      </c>
      <c r="BT389" s="123">
        <v>44491</v>
      </c>
      <c r="BU389" s="116" t="s">
        <v>8</v>
      </c>
      <c r="BV389" s="115" t="s">
        <v>482</v>
      </c>
      <c r="BW389" s="116" t="s">
        <v>502</v>
      </c>
      <c r="BX389" s="115">
        <v>18400</v>
      </c>
      <c r="BY389" s="115">
        <v>41.7</v>
      </c>
      <c r="BZ389" s="115">
        <v>47.945</v>
      </c>
      <c r="CA389" s="119">
        <v>-3216.6708800000001</v>
      </c>
      <c r="CB389" s="115">
        <v>1.1497601918465228</v>
      </c>
      <c r="CC389" s="115">
        <v>500</v>
      </c>
      <c r="CD389" s="115">
        <v>50</v>
      </c>
      <c r="CE389" s="119">
        <v>20850</v>
      </c>
    </row>
    <row r="390" spans="1:83" hidden="1">
      <c r="A390" s="13">
        <f t="shared" si="753"/>
        <v>383</v>
      </c>
      <c r="B390" s="123">
        <v>44747</v>
      </c>
      <c r="C390" s="116" t="s">
        <v>6</v>
      </c>
      <c r="D390" s="116">
        <v>1</v>
      </c>
      <c r="E390" s="115" t="s">
        <v>482</v>
      </c>
      <c r="F390" s="116" t="s">
        <v>284</v>
      </c>
      <c r="G390" s="115">
        <v>410</v>
      </c>
      <c r="H390" s="117">
        <v>44770</v>
      </c>
      <c r="I390" s="115">
        <v>1425</v>
      </c>
      <c r="J390" s="115">
        <v>12.95</v>
      </c>
      <c r="K390" s="115">
        <v>0</v>
      </c>
      <c r="L390" s="119">
        <f t="shared" ref="L390:L392" ca="1" si="1515">IF(AND(K390&lt;&gt;0,I390&lt;&gt;0),(IF(C390="B",1,-1))*(K390-J390)*I390-AK390*2,0)*$D390*IF(MONTH($B$2)=MONTH($H390),1,0)</f>
        <v>0</v>
      </c>
      <c r="M390" s="119">
        <f t="shared" ref="M390:M392" si="1516">IF(AND(K390&lt;&gt;0,I390&lt;&gt;0),(IF(C390="B",1,-1))*(K390-J390)*I390-AK390*2,0)*$D390</f>
        <v>0</v>
      </c>
      <c r="N390" s="115">
        <f t="shared" ref="N390:N392" si="1517">K390/$J390</f>
        <v>0</v>
      </c>
      <c r="O390" s="156">
        <f t="shared" ref="O390:O392" si="1518">J390*(1+$O$6*IF(C390="B",-1,1))</f>
        <v>9.7124999999999986</v>
      </c>
      <c r="P390" s="160">
        <f t="shared" si="754"/>
        <v>18453.75</v>
      </c>
      <c r="Q390" s="160" t="e">
        <f t="shared" ref="Q390:Q392" si="1519">(W390-J390)*I390*IF(C390="B",1,-1)*IF(K390=0,1,0)</f>
        <v>#N/A</v>
      </c>
      <c r="R390" s="153" t="e">
        <f t="shared" ca="1" si="1219"/>
        <v>#VALUE!</v>
      </c>
      <c r="S390" s="119">
        <f t="shared" ref="S390:S392" si="1520">(1-$S$6)*J390</f>
        <v>1.2949999999999997</v>
      </c>
      <c r="T390" s="115" t="e">
        <f>VLOOKUP(TRIM($F390),Reference!B:C,2,0)</f>
        <v>#VALUE!</v>
      </c>
      <c r="U390" s="170">
        <f t="shared" ref="U390:U392" ca="1" si="1521">AC390</f>
        <v>0</v>
      </c>
      <c r="V390" s="120" t="str">
        <f t="shared" si="1213"/>
        <v>TATAMOTORS22JUL410PE</v>
      </c>
      <c r="W390" s="158" t="e">
        <f>VLOOKUP($V390,Reference!BA:BD,4,0)</f>
        <v>#N/A</v>
      </c>
      <c r="X390" s="160">
        <f t="shared" ca="1" si="1214"/>
        <v>0</v>
      </c>
      <c r="Y390" s="160">
        <f t="shared" ca="1" si="1215"/>
        <v>0</v>
      </c>
      <c r="Z390" s="160">
        <f t="shared" ca="1" si="1220"/>
        <v>0</v>
      </c>
      <c r="AA390" s="160">
        <f t="shared" ca="1" si="1216"/>
        <v>0</v>
      </c>
      <c r="AB390" s="160">
        <f t="shared" ca="1" si="1217"/>
        <v>0</v>
      </c>
      <c r="AC390" s="119">
        <f t="shared" ca="1" si="1218"/>
        <v>0</v>
      </c>
      <c r="AD390" s="115">
        <f t="shared" ref="AD390:AD392" ca="1" si="1522">(H390-TODAY())/365</f>
        <v>-1.1342465753424658</v>
      </c>
      <c r="AE390" s="115">
        <f t="shared" ref="AE390:AE392" si="1523">IF(I390&lt;&gt;0,20,0)</f>
        <v>20</v>
      </c>
      <c r="AF390" s="115"/>
      <c r="AG390" s="115"/>
      <c r="AH390" s="115">
        <f t="shared" si="755"/>
        <v>0</v>
      </c>
      <c r="AI390" s="115"/>
      <c r="AJ390" s="115">
        <f t="shared" si="756"/>
        <v>0.55361250000000006</v>
      </c>
      <c r="AK390" s="115"/>
      <c r="AL390" s="142"/>
      <c r="AM390" s="153"/>
      <c r="AN390" s="153"/>
      <c r="AO390" s="153"/>
      <c r="AP390" s="153"/>
      <c r="AQ390" s="153"/>
      <c r="AR390" s="153"/>
      <c r="AS390" s="153"/>
      <c r="AT390" s="153"/>
      <c r="AU390" s="153"/>
      <c r="AV390" s="153"/>
      <c r="AW390" s="153"/>
      <c r="AX390" s="153"/>
      <c r="AY390" s="153"/>
      <c r="AZ390" s="153"/>
      <c r="BA390" s="153"/>
      <c r="BB390" s="153"/>
      <c r="BC390" s="153"/>
      <c r="BD390" s="153"/>
      <c r="BE390" s="153"/>
      <c r="BF390" s="153"/>
      <c r="BG390" s="153"/>
      <c r="BS390" s="13">
        <v>2</v>
      </c>
      <c r="BT390" s="123">
        <v>44491</v>
      </c>
      <c r="BU390" s="116" t="s">
        <v>8</v>
      </c>
      <c r="BV390" s="115" t="s">
        <v>482</v>
      </c>
      <c r="BW390" s="116" t="s">
        <v>502</v>
      </c>
      <c r="BX390" s="115">
        <v>18400</v>
      </c>
      <c r="BY390" s="115">
        <v>41.7</v>
      </c>
      <c r="BZ390" s="115">
        <v>47.945</v>
      </c>
      <c r="CA390" s="119">
        <v>-3216.6708800000001</v>
      </c>
      <c r="CB390" s="115">
        <v>1.1497601918465228</v>
      </c>
      <c r="CC390" s="115">
        <v>500</v>
      </c>
      <c r="CD390" s="115">
        <v>50</v>
      </c>
      <c r="CE390" s="119">
        <v>20850</v>
      </c>
    </row>
    <row r="391" spans="1:83" hidden="1">
      <c r="A391" s="13">
        <f t="shared" si="753"/>
        <v>384</v>
      </c>
      <c r="B391" s="123">
        <v>44747</v>
      </c>
      <c r="C391" s="116" t="s">
        <v>8</v>
      </c>
      <c r="D391" s="116">
        <v>1</v>
      </c>
      <c r="E391" s="115" t="s">
        <v>481</v>
      </c>
      <c r="F391" s="116" t="s">
        <v>390</v>
      </c>
      <c r="G391" s="115">
        <v>2300</v>
      </c>
      <c r="H391" s="117">
        <v>44770</v>
      </c>
      <c r="I391" s="115">
        <v>375</v>
      </c>
      <c r="J391" s="115">
        <v>31.2</v>
      </c>
      <c r="K391" s="115">
        <v>0</v>
      </c>
      <c r="L391" s="119">
        <f t="shared" ca="1" si="1515"/>
        <v>0</v>
      </c>
      <c r="M391" s="119">
        <f t="shared" si="1516"/>
        <v>0</v>
      </c>
      <c r="N391" s="115">
        <f t="shared" si="1517"/>
        <v>0</v>
      </c>
      <c r="O391" s="156">
        <f t="shared" si="1518"/>
        <v>39</v>
      </c>
      <c r="P391" s="160">
        <f t="shared" si="754"/>
        <v>11700</v>
      </c>
      <c r="Q391" s="160">
        <f t="shared" si="1519"/>
        <v>74.99999999999973</v>
      </c>
      <c r="R391" s="153" t="e">
        <f t="shared" ca="1" si="1219"/>
        <v>#VALUE!</v>
      </c>
      <c r="S391" s="119">
        <f t="shared" si="1520"/>
        <v>3.1199999999999992</v>
      </c>
      <c r="T391" s="115" t="e">
        <f>VLOOKUP(TRIM($F391),Reference!B:C,2,0)</f>
        <v>#VALUE!</v>
      </c>
      <c r="U391" s="170">
        <f t="shared" ca="1" si="1521"/>
        <v>0</v>
      </c>
      <c r="V391" s="120" t="str">
        <f t="shared" si="1213"/>
        <v>SRF22JUL2300CE</v>
      </c>
      <c r="W391" s="158">
        <f>VLOOKUP($V391,Reference!BA:BD,4,0)</f>
        <v>31</v>
      </c>
      <c r="X391" s="160">
        <f t="shared" ca="1" si="1214"/>
        <v>0</v>
      </c>
      <c r="Y391" s="160">
        <f t="shared" ca="1" si="1215"/>
        <v>0</v>
      </c>
      <c r="Z391" s="160">
        <f t="shared" ca="1" si="1220"/>
        <v>0</v>
      </c>
      <c r="AA391" s="160">
        <f t="shared" ca="1" si="1216"/>
        <v>0</v>
      </c>
      <c r="AB391" s="160">
        <f t="shared" ca="1" si="1217"/>
        <v>0</v>
      </c>
      <c r="AC391" s="119">
        <f t="shared" ca="1" si="1218"/>
        <v>0</v>
      </c>
      <c r="AD391" s="115">
        <f t="shared" ca="1" si="1522"/>
        <v>-1.1342465753424658</v>
      </c>
      <c r="AE391" s="115">
        <f t="shared" si="1523"/>
        <v>20</v>
      </c>
      <c r="AF391" s="115"/>
      <c r="AG391" s="115"/>
      <c r="AH391" s="115">
        <f t="shared" si="755"/>
        <v>5.8500000000000005</v>
      </c>
      <c r="AI391" s="115"/>
      <c r="AJ391" s="115">
        <f t="shared" si="756"/>
        <v>0</v>
      </c>
      <c r="AK391" s="115"/>
      <c r="AL391" s="142"/>
      <c r="AM391" s="153"/>
      <c r="AN391" s="153"/>
      <c r="AO391" s="153"/>
      <c r="AP391" s="153"/>
      <c r="AQ391" s="153"/>
      <c r="AR391" s="153"/>
      <c r="AS391" s="153"/>
      <c r="AT391" s="153"/>
      <c r="AU391" s="153"/>
      <c r="AV391" s="153"/>
      <c r="AW391" s="153"/>
      <c r="AX391" s="153"/>
      <c r="AY391" s="153"/>
      <c r="AZ391" s="153"/>
      <c r="BA391" s="153"/>
      <c r="BB391" s="153"/>
      <c r="BC391" s="153"/>
      <c r="BD391" s="153"/>
      <c r="BE391" s="153"/>
      <c r="BF391" s="153"/>
      <c r="BG391" s="153"/>
      <c r="BS391" s="13">
        <v>2</v>
      </c>
      <c r="BT391" s="123">
        <v>44491</v>
      </c>
      <c r="BU391" s="116" t="s">
        <v>8</v>
      </c>
      <c r="BV391" s="115" t="s">
        <v>482</v>
      </c>
      <c r="BW391" s="116" t="s">
        <v>502</v>
      </c>
      <c r="BX391" s="115">
        <v>18400</v>
      </c>
      <c r="BY391" s="115">
        <v>41.7</v>
      </c>
      <c r="BZ391" s="115">
        <v>47.945</v>
      </c>
      <c r="CA391" s="119">
        <v>-3216.6708800000001</v>
      </c>
      <c r="CB391" s="115">
        <v>1.1497601918465228</v>
      </c>
      <c r="CC391" s="115">
        <v>500</v>
      </c>
      <c r="CD391" s="115">
        <v>50</v>
      </c>
      <c r="CE391" s="119">
        <v>20850</v>
      </c>
    </row>
    <row r="392" spans="1:83" hidden="1">
      <c r="A392" s="13">
        <f t="shared" si="753"/>
        <v>385</v>
      </c>
      <c r="B392" s="123">
        <v>44747</v>
      </c>
      <c r="C392" s="116" t="s">
        <v>8</v>
      </c>
      <c r="D392" s="116">
        <v>1</v>
      </c>
      <c r="E392" s="115" t="s">
        <v>481</v>
      </c>
      <c r="F392" s="116" t="s">
        <v>502</v>
      </c>
      <c r="G392" s="115">
        <v>16100</v>
      </c>
      <c r="H392" s="117">
        <v>44749</v>
      </c>
      <c r="I392" s="115">
        <v>50</v>
      </c>
      <c r="J392" s="115">
        <v>60</v>
      </c>
      <c r="K392" s="115">
        <v>0</v>
      </c>
      <c r="L392" s="119">
        <f t="shared" ca="1" si="1515"/>
        <v>0</v>
      </c>
      <c r="M392" s="119">
        <f t="shared" si="1516"/>
        <v>0</v>
      </c>
      <c r="N392" s="115">
        <f t="shared" si="1517"/>
        <v>0</v>
      </c>
      <c r="O392" s="156">
        <f t="shared" si="1518"/>
        <v>75</v>
      </c>
      <c r="P392" s="160">
        <f t="shared" si="754"/>
        <v>3000</v>
      </c>
      <c r="Q392" s="160" t="e">
        <f t="shared" si="1519"/>
        <v>#N/A</v>
      </c>
      <c r="R392" s="153" t="e">
        <f t="shared" ca="1" si="1219"/>
        <v>#VALUE!</v>
      </c>
      <c r="S392" s="119">
        <f t="shared" si="1520"/>
        <v>5.9999999999999982</v>
      </c>
      <c r="T392" s="115" t="str">
        <f>VLOOKUP(TRIM($F392),Reference!B:C,2,0)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92" s="170">
        <f t="shared" ca="1" si="1521"/>
        <v>0</v>
      </c>
      <c r="V392" s="120" t="str">
        <f t="shared" ref="V392:V420" si="1524">TRIM(F392)&amp;TEXT(H392,"YY")&amp;UPPER(TEXT(H392,"MMM"))&amp;TRIM(G392)&amp;TRIM(E392)</f>
        <v>NIFTY22JUL16100CE</v>
      </c>
      <c r="W392" s="158" t="e">
        <f>VLOOKUP($V392,Reference!BA:BD,4,0)</f>
        <v>#N/A</v>
      </c>
      <c r="X392" s="160">
        <f t="shared" ref="X392:X421" ca="1" si="1525">IF(OR($AD392&lt;0,$K392&lt;&gt;0),0,IF($E392="FUT",W392,OptionPrice(LEFT($E392),$T392,$G392,$AD392,RISKFREE_RATE,$U392,NIFTY_DIVYLD))*IF(C392="B",1,-1)*IF(I392=0,0,1)*IF(K392=0,1,0)*I392)</f>
        <v>0</v>
      </c>
      <c r="Y392" s="160">
        <f t="shared" ref="Y392:Y421" ca="1" si="1526">IF(OR($AD392&lt;0,$K392&lt;&gt;0),0,IF($E392="FUT",1,OptionDelta(LEFT(E392),T392,G392,AD392,RISKFREE_RATE,U392,NIFTY_DIVYLD)))</f>
        <v>0</v>
      </c>
      <c r="Z392" s="160">
        <f t="shared" ca="1" si="1220"/>
        <v>0</v>
      </c>
      <c r="AA392" s="160">
        <f t="shared" ref="AA392:AA421" ca="1" si="1527">IF(OR($AD392&lt;0,$K392&lt;&gt;0),0,IF($E392="FUT",0,OptionTheta(LEFT(E392),T392,G392,AD392,RISKFREE_RATE,U392,NIFTY_DIVYLD))*IF(C392="B",1,-1)*IF(I392=0,0,1)*IF(K392=0,1,0)*I392)</f>
        <v>0</v>
      </c>
      <c r="AB392" s="160">
        <f t="shared" ref="AB392:AB421" ca="1" si="1528">IF(OR($AD392&lt;0,$K392&lt;&gt;0),0,IF($E392="FUT",0,OptionGamma(T392,G392,AD392,RISKFREE_RATE,U392,NIFTY_DIVYLD))*IF(C392="B",1,-1)*IF(I392=0,0,1)*IF(K392=0,1,0))</f>
        <v>0</v>
      </c>
      <c r="AC392" s="119">
        <f t="shared" ref="AC392:AC421" ca="1" si="1529">IF(OR($AD392&lt;0,$K392&lt;&gt;0),0,IF($E392="FUT",0,ImpliedVolatility(LEFT(E392),T392,G392,RISKFREE_RATE,AD392,NIFTY_DIVYLD,W392,$AC$6)))</f>
        <v>0</v>
      </c>
      <c r="AD392" s="115">
        <f t="shared" ca="1" si="1522"/>
        <v>-1.1917808219178083</v>
      </c>
      <c r="AE392" s="115">
        <f t="shared" si="1523"/>
        <v>20</v>
      </c>
      <c r="AF392" s="115"/>
      <c r="AG392" s="115"/>
      <c r="AH392" s="115">
        <f t="shared" si="755"/>
        <v>1.5</v>
      </c>
      <c r="AI392" s="115"/>
      <c r="AJ392" s="115">
        <f t="shared" si="756"/>
        <v>0</v>
      </c>
      <c r="AK392" s="115"/>
      <c r="AL392" s="142"/>
      <c r="AM392" s="153"/>
      <c r="AN392" s="153"/>
      <c r="AO392" s="153"/>
      <c r="AP392" s="153"/>
      <c r="AQ392" s="153"/>
      <c r="AR392" s="153"/>
      <c r="AS392" s="153"/>
      <c r="AT392" s="153"/>
      <c r="AU392" s="153"/>
      <c r="AV392" s="153"/>
      <c r="AW392" s="153"/>
      <c r="AX392" s="153"/>
      <c r="AY392" s="153"/>
      <c r="AZ392" s="153"/>
      <c r="BA392" s="153"/>
      <c r="BB392" s="153"/>
      <c r="BC392" s="153"/>
      <c r="BD392" s="153"/>
      <c r="BE392" s="153"/>
      <c r="BF392" s="153"/>
      <c r="BG392" s="153"/>
      <c r="BS392" s="13">
        <v>2</v>
      </c>
      <c r="BT392" s="123">
        <v>44491</v>
      </c>
      <c r="BU392" s="116" t="s">
        <v>8</v>
      </c>
      <c r="BV392" s="115" t="s">
        <v>482</v>
      </c>
      <c r="BW392" s="116" t="s">
        <v>502</v>
      </c>
      <c r="BX392" s="115">
        <v>18400</v>
      </c>
      <c r="BY392" s="115">
        <v>41.7</v>
      </c>
      <c r="BZ392" s="115">
        <v>47.945</v>
      </c>
      <c r="CA392" s="119">
        <v>-3216.6708800000001</v>
      </c>
      <c r="CB392" s="115">
        <v>1.1497601918465228</v>
      </c>
      <c r="CC392" s="115">
        <v>500</v>
      </c>
      <c r="CD392" s="115">
        <v>50</v>
      </c>
      <c r="CE392" s="119">
        <v>20850</v>
      </c>
    </row>
    <row r="393" spans="1:83" hidden="1">
      <c r="A393" s="13">
        <f t="shared" si="753"/>
        <v>386</v>
      </c>
      <c r="B393" s="123">
        <v>44747</v>
      </c>
      <c r="C393" s="116" t="s">
        <v>8</v>
      </c>
      <c r="D393" s="116">
        <v>1</v>
      </c>
      <c r="E393" s="115" t="s">
        <v>481</v>
      </c>
      <c r="F393" s="116" t="s">
        <v>130</v>
      </c>
      <c r="G393" s="115">
        <v>235</v>
      </c>
      <c r="H393" s="117">
        <v>44770</v>
      </c>
      <c r="I393" s="115">
        <v>3375</v>
      </c>
      <c r="J393" s="115">
        <v>2.4500000000000002</v>
      </c>
      <c r="K393" s="115">
        <v>0</v>
      </c>
      <c r="L393" s="119">
        <f t="shared" ref="L393" ca="1" si="1530">IF(AND(K393&lt;&gt;0,I393&lt;&gt;0),(IF(C393="B",1,-1))*(K393-J393)*I393-AK393*2,0)*$D393*IF(MONTH($B$2)=MONTH($H393),1,0)</f>
        <v>0</v>
      </c>
      <c r="M393" s="119">
        <f t="shared" ref="M393" si="1531">IF(AND(K393&lt;&gt;0,I393&lt;&gt;0),(IF(C393="B",1,-1))*(K393-J393)*I393-AK393*2,0)*$D393</f>
        <v>0</v>
      </c>
      <c r="N393" s="115">
        <f t="shared" ref="N393" si="1532">K393/$J393</f>
        <v>0</v>
      </c>
      <c r="O393" s="156">
        <f t="shared" ref="O393" si="1533">J393*(1+$O$6*IF(C393="B",-1,1))</f>
        <v>3.0625</v>
      </c>
      <c r="P393" s="160">
        <f t="shared" si="754"/>
        <v>8268.75</v>
      </c>
      <c r="Q393" s="160">
        <f t="shared" ref="Q393" si="1534">(W393-J393)*I393*IF(C393="B",1,-1)*IF(K393=0,1,0)</f>
        <v>843.75</v>
      </c>
      <c r="R393" s="153" t="e">
        <f t="shared" ref="R393:R421" ca="1" si="1535">Z393*T393</f>
        <v>#VALUE!</v>
      </c>
      <c r="S393" s="119">
        <f t="shared" ref="S393" si="1536">(1-$S$6)*J393</f>
        <v>0.24499999999999997</v>
      </c>
      <c r="T393" s="115" t="e">
        <f>VLOOKUP(TRIM($F393),Reference!B:C,2,0)</f>
        <v>#VALUE!</v>
      </c>
      <c r="U393" s="170">
        <f t="shared" ref="U393" ca="1" si="1537">AC393</f>
        <v>0</v>
      </c>
      <c r="V393" s="120" t="str">
        <f t="shared" si="1524"/>
        <v>TATAPOWER22JUL235CE</v>
      </c>
      <c r="W393" s="158">
        <f>VLOOKUP($V393,Reference!BA:BD,4,0)</f>
        <v>2.2000000000000002</v>
      </c>
      <c r="X393" s="160">
        <f t="shared" ca="1" si="1525"/>
        <v>0</v>
      </c>
      <c r="Y393" s="160">
        <f t="shared" ca="1" si="1526"/>
        <v>0</v>
      </c>
      <c r="Z393" s="160">
        <f t="shared" ref="Z393:Z421" ca="1" si="1538">Y393*IF(C393="B",1,-1)*IF(I393=0,0,1)*IF(K393=0,1,0)*I393</f>
        <v>0</v>
      </c>
      <c r="AA393" s="160">
        <f t="shared" ca="1" si="1527"/>
        <v>0</v>
      </c>
      <c r="AB393" s="160">
        <f t="shared" ca="1" si="1528"/>
        <v>0</v>
      </c>
      <c r="AC393" s="119">
        <f t="shared" ca="1" si="1529"/>
        <v>0</v>
      </c>
      <c r="AD393" s="115">
        <f t="shared" ref="AD393" ca="1" si="1539">(H393-TODAY())/365</f>
        <v>-1.1342465753424658</v>
      </c>
      <c r="AE393" s="115">
        <f t="shared" ref="AE393" si="1540">IF(I393&lt;&gt;0,20,0)</f>
        <v>20</v>
      </c>
      <c r="AF393" s="115"/>
      <c r="AG393" s="115"/>
      <c r="AH393" s="115">
        <f t="shared" si="755"/>
        <v>4.1343750000000004</v>
      </c>
      <c r="AI393" s="115"/>
      <c r="AJ393" s="115">
        <f t="shared" si="756"/>
        <v>0</v>
      </c>
      <c r="AK393" s="115"/>
      <c r="AL393" s="142"/>
      <c r="AM393" s="153"/>
      <c r="AN393" s="153"/>
      <c r="AO393" s="153"/>
      <c r="AP393" s="153"/>
      <c r="AQ393" s="153"/>
      <c r="AR393" s="153"/>
      <c r="AS393" s="153"/>
      <c r="AT393" s="153"/>
      <c r="AU393" s="153"/>
      <c r="AV393" s="153"/>
      <c r="AW393" s="153"/>
      <c r="AX393" s="153"/>
      <c r="AY393" s="153"/>
      <c r="AZ393" s="153"/>
      <c r="BA393" s="153"/>
      <c r="BB393" s="153"/>
      <c r="BC393" s="153"/>
      <c r="BD393" s="153"/>
      <c r="BE393" s="153"/>
      <c r="BF393" s="153"/>
      <c r="BG393" s="153"/>
      <c r="BS393" s="13">
        <v>2</v>
      </c>
      <c r="BT393" s="123">
        <v>44491</v>
      </c>
      <c r="BU393" s="116" t="s">
        <v>8</v>
      </c>
      <c r="BV393" s="115" t="s">
        <v>482</v>
      </c>
      <c r="BW393" s="116" t="s">
        <v>502</v>
      </c>
      <c r="BX393" s="115">
        <v>18400</v>
      </c>
      <c r="BY393" s="115">
        <v>41.7</v>
      </c>
      <c r="BZ393" s="115">
        <v>47.945</v>
      </c>
      <c r="CA393" s="119">
        <v>-3216.6708800000001</v>
      </c>
      <c r="CB393" s="115">
        <v>1.1497601918465228</v>
      </c>
      <c r="CC393" s="115">
        <v>500</v>
      </c>
      <c r="CD393" s="115">
        <v>50</v>
      </c>
      <c r="CE393" s="119">
        <v>20850</v>
      </c>
    </row>
    <row r="394" spans="1:83" hidden="1">
      <c r="A394" s="13">
        <f t="shared" si="753"/>
        <v>387</v>
      </c>
      <c r="B394" s="123">
        <v>44747</v>
      </c>
      <c r="C394" s="116" t="s">
        <v>8</v>
      </c>
      <c r="D394" s="116">
        <v>1</v>
      </c>
      <c r="E394" s="115" t="s">
        <v>481</v>
      </c>
      <c r="F394" s="116" t="s">
        <v>390</v>
      </c>
      <c r="G394" s="115">
        <v>2300</v>
      </c>
      <c r="H394" s="117">
        <v>44770</v>
      </c>
      <c r="I394" s="115">
        <v>375</v>
      </c>
      <c r="J394" s="115">
        <v>31.5</v>
      </c>
      <c r="K394" s="115">
        <v>0</v>
      </c>
      <c r="L394" s="119">
        <f t="shared" ref="L394" ca="1" si="1541">IF(AND(K394&lt;&gt;0,I394&lt;&gt;0),(IF(C394="B",1,-1))*(K394-J394)*I394-AK394*2,0)*$D394*IF(MONTH($B$2)=MONTH($H394),1,0)</f>
        <v>0</v>
      </c>
      <c r="M394" s="119">
        <f t="shared" ref="M394" si="1542">IF(AND(K394&lt;&gt;0,I394&lt;&gt;0),(IF(C394="B",1,-1))*(K394-J394)*I394-AK394*2,0)*$D394</f>
        <v>0</v>
      </c>
      <c r="N394" s="115">
        <f t="shared" ref="N394" si="1543">K394/$J394</f>
        <v>0</v>
      </c>
      <c r="O394" s="156">
        <f t="shared" ref="O394" si="1544">J394*(1+$O$6*IF(C394="B",-1,1))</f>
        <v>39.375</v>
      </c>
      <c r="P394" s="160">
        <f t="shared" si="754"/>
        <v>11812.5</v>
      </c>
      <c r="Q394" s="160">
        <f t="shared" ref="Q394" si="1545">(W394-J394)*I394*IF(C394="B",1,-1)*IF(K394=0,1,0)</f>
        <v>187.5</v>
      </c>
      <c r="R394" s="153" t="e">
        <f t="shared" ca="1" si="1535"/>
        <v>#VALUE!</v>
      </c>
      <c r="S394" s="119">
        <f t="shared" ref="S394" si="1546">(1-$S$6)*J394</f>
        <v>3.1499999999999995</v>
      </c>
      <c r="T394" s="115" t="e">
        <f>VLOOKUP(TRIM($F394),Reference!B:C,2,0)</f>
        <v>#VALUE!</v>
      </c>
      <c r="U394" s="170">
        <f t="shared" ref="U394" ca="1" si="1547">AC394</f>
        <v>0</v>
      </c>
      <c r="V394" s="120" t="str">
        <f t="shared" si="1524"/>
        <v>SRF22JUL2300CE</v>
      </c>
      <c r="W394" s="158">
        <f>VLOOKUP($V394,Reference!BA:BD,4,0)</f>
        <v>31</v>
      </c>
      <c r="X394" s="160">
        <f t="shared" ca="1" si="1525"/>
        <v>0</v>
      </c>
      <c r="Y394" s="160">
        <f t="shared" ca="1" si="1526"/>
        <v>0</v>
      </c>
      <c r="Z394" s="160">
        <f t="shared" ca="1" si="1538"/>
        <v>0</v>
      </c>
      <c r="AA394" s="160">
        <f t="shared" ca="1" si="1527"/>
        <v>0</v>
      </c>
      <c r="AB394" s="160">
        <f t="shared" ca="1" si="1528"/>
        <v>0</v>
      </c>
      <c r="AC394" s="119">
        <f t="shared" ca="1" si="1529"/>
        <v>0</v>
      </c>
      <c r="AD394" s="115">
        <f t="shared" ref="AD394" ca="1" si="1548">(H394-TODAY())/365</f>
        <v>-1.1342465753424658</v>
      </c>
      <c r="AE394" s="115">
        <f t="shared" ref="AE394" si="1549">IF(I394&lt;&gt;0,20,0)</f>
        <v>20</v>
      </c>
      <c r="AF394" s="115"/>
      <c r="AG394" s="115"/>
      <c r="AH394" s="115">
        <f t="shared" si="755"/>
        <v>5.90625</v>
      </c>
      <c r="AI394" s="115"/>
      <c r="AJ394" s="115">
        <f t="shared" si="756"/>
        <v>0</v>
      </c>
      <c r="AK394" s="115"/>
      <c r="AL394" s="142"/>
      <c r="AM394" s="153"/>
      <c r="AN394" s="153"/>
      <c r="AO394" s="153"/>
      <c r="AP394" s="153"/>
      <c r="AQ394" s="153"/>
      <c r="AR394" s="153"/>
      <c r="AS394" s="153"/>
      <c r="AT394" s="153"/>
      <c r="AU394" s="153"/>
      <c r="AV394" s="153"/>
      <c r="AW394" s="153"/>
      <c r="AX394" s="153"/>
      <c r="AY394" s="153"/>
      <c r="AZ394" s="153"/>
      <c r="BA394" s="153"/>
      <c r="BB394" s="153"/>
      <c r="BC394" s="153"/>
      <c r="BD394" s="153"/>
      <c r="BE394" s="153"/>
      <c r="BF394" s="153"/>
      <c r="BG394" s="153"/>
      <c r="BS394" s="13">
        <v>2</v>
      </c>
      <c r="BT394" s="123">
        <v>44491</v>
      </c>
      <c r="BU394" s="116" t="s">
        <v>8</v>
      </c>
      <c r="BV394" s="115" t="s">
        <v>482</v>
      </c>
      <c r="BW394" s="116" t="s">
        <v>502</v>
      </c>
      <c r="BX394" s="115">
        <v>18400</v>
      </c>
      <c r="BY394" s="115">
        <v>41.7</v>
      </c>
      <c r="BZ394" s="115">
        <v>47.945</v>
      </c>
      <c r="CA394" s="119">
        <v>-3216.6708800000001</v>
      </c>
      <c r="CB394" s="115">
        <v>1.1497601918465228</v>
      </c>
      <c r="CC394" s="115">
        <v>500</v>
      </c>
      <c r="CD394" s="115">
        <v>50</v>
      </c>
      <c r="CE394" s="119">
        <v>20850</v>
      </c>
    </row>
    <row r="395" spans="1:83" hidden="1">
      <c r="A395" s="13">
        <f t="shared" si="753"/>
        <v>388</v>
      </c>
      <c r="B395" s="123">
        <v>44747</v>
      </c>
      <c r="C395" s="116" t="s">
        <v>8</v>
      </c>
      <c r="D395" s="116">
        <v>1</v>
      </c>
      <c r="E395" s="115" t="s">
        <v>481</v>
      </c>
      <c r="F395" s="116" t="s">
        <v>506</v>
      </c>
      <c r="G395" s="115">
        <v>35000</v>
      </c>
      <c r="H395" s="117">
        <v>44770</v>
      </c>
      <c r="I395" s="115">
        <v>25</v>
      </c>
      <c r="J395" s="115">
        <v>455</v>
      </c>
      <c r="K395" s="115">
        <v>0</v>
      </c>
      <c r="L395" s="119">
        <f t="shared" ref="L395:L396" ca="1" si="1550">IF(AND(K395&lt;&gt;0,I395&lt;&gt;0),(IF(C395="B",1,-1))*(K395-J395)*I395-AK395*2,0)*$D395*IF(MONTH($B$2)=MONTH($H395),1,0)</f>
        <v>0</v>
      </c>
      <c r="M395" s="119">
        <f t="shared" ref="M395:M396" si="1551">IF(AND(K395&lt;&gt;0,I395&lt;&gt;0),(IF(C395="B",1,-1))*(K395-J395)*I395-AK395*2,0)*$D395</f>
        <v>0</v>
      </c>
      <c r="N395" s="115">
        <f t="shared" ref="N395:N396" si="1552">K395/$J395</f>
        <v>0</v>
      </c>
      <c r="O395" s="156">
        <f t="shared" ref="O395:O396" si="1553">J395*(1+$O$6*IF(C395="B",-1,1))</f>
        <v>568.75</v>
      </c>
      <c r="P395" s="160">
        <f t="shared" si="754"/>
        <v>11375</v>
      </c>
      <c r="Q395" s="160">
        <f t="shared" ref="Q395:Q396" si="1554">(W395-J395)*I395*IF(C395="B",1,-1)*IF(K395=0,1,0)</f>
        <v>1418.75</v>
      </c>
      <c r="R395" s="153" t="e">
        <f t="shared" ca="1" si="1535"/>
        <v>#VALUE!</v>
      </c>
      <c r="S395" s="119">
        <f t="shared" ref="S395:S396" si="1555">(1-$S$6)*J395</f>
        <v>45.499999999999993</v>
      </c>
      <c r="T395" s="115" t="str">
        <f>VLOOKUP(TRIM($F395),Reference!B:C,2,0)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95" s="170">
        <f t="shared" ref="U395:U396" ca="1" si="1556">AC395</f>
        <v>0</v>
      </c>
      <c r="V395" s="120" t="str">
        <f t="shared" si="1524"/>
        <v>BANKNIFTY22JUL35000CE</v>
      </c>
      <c r="W395" s="158">
        <f>VLOOKUP($V395,Reference!BA:BD,4,0)</f>
        <v>398.25</v>
      </c>
      <c r="X395" s="160">
        <f t="shared" ca="1" si="1525"/>
        <v>0</v>
      </c>
      <c r="Y395" s="160">
        <f t="shared" ca="1" si="1526"/>
        <v>0</v>
      </c>
      <c r="Z395" s="160">
        <f t="shared" ca="1" si="1538"/>
        <v>0</v>
      </c>
      <c r="AA395" s="160">
        <f t="shared" ca="1" si="1527"/>
        <v>0</v>
      </c>
      <c r="AB395" s="160">
        <f t="shared" ca="1" si="1528"/>
        <v>0</v>
      </c>
      <c r="AC395" s="119">
        <f t="shared" ca="1" si="1529"/>
        <v>0</v>
      </c>
      <c r="AD395" s="115">
        <f t="shared" ref="AD395:AD396" ca="1" si="1557">(H395-TODAY())/365</f>
        <v>-1.1342465753424658</v>
      </c>
      <c r="AE395" s="115">
        <f t="shared" ref="AE395:AE396" si="1558">IF(I395&lt;&gt;0,20,0)</f>
        <v>20</v>
      </c>
      <c r="AF395" s="115"/>
      <c r="AG395" s="115"/>
      <c r="AH395" s="115">
        <f t="shared" si="755"/>
        <v>5.6875</v>
      </c>
      <c r="AI395" s="115"/>
      <c r="AJ395" s="115">
        <f t="shared" si="756"/>
        <v>0</v>
      </c>
      <c r="AK395" s="115"/>
      <c r="AL395" s="142"/>
      <c r="AM395" s="153"/>
      <c r="AN395" s="153"/>
      <c r="AO395" s="153"/>
      <c r="AP395" s="153"/>
      <c r="AQ395" s="153"/>
      <c r="AR395" s="153"/>
      <c r="AS395" s="153"/>
      <c r="AT395" s="153"/>
      <c r="AU395" s="153"/>
      <c r="AV395" s="153"/>
      <c r="AW395" s="153"/>
      <c r="AX395" s="153"/>
      <c r="AY395" s="153"/>
      <c r="AZ395" s="153"/>
      <c r="BA395" s="153"/>
      <c r="BB395" s="153"/>
      <c r="BC395" s="153"/>
      <c r="BD395" s="153"/>
      <c r="BE395" s="153"/>
      <c r="BF395" s="153"/>
      <c r="BG395" s="153"/>
      <c r="BS395" s="13">
        <v>2</v>
      </c>
      <c r="BT395" s="123">
        <v>44491</v>
      </c>
      <c r="BU395" s="116" t="s">
        <v>8</v>
      </c>
      <c r="BV395" s="115" t="s">
        <v>482</v>
      </c>
      <c r="BW395" s="116" t="s">
        <v>502</v>
      </c>
      <c r="BX395" s="115">
        <v>18400</v>
      </c>
      <c r="BY395" s="115">
        <v>41.7</v>
      </c>
      <c r="BZ395" s="115">
        <v>47.945</v>
      </c>
      <c r="CA395" s="119">
        <v>-3216.6708800000001</v>
      </c>
      <c r="CB395" s="115">
        <v>1.1497601918465228</v>
      </c>
      <c r="CC395" s="115">
        <v>500</v>
      </c>
      <c r="CD395" s="115">
        <v>50</v>
      </c>
      <c r="CE395" s="119">
        <v>20850</v>
      </c>
    </row>
    <row r="396" spans="1:83" hidden="1">
      <c r="A396" s="13">
        <f t="shared" si="753"/>
        <v>389</v>
      </c>
      <c r="B396" s="123">
        <v>44749</v>
      </c>
      <c r="C396" s="116" t="s">
        <v>6</v>
      </c>
      <c r="D396" s="116">
        <v>1</v>
      </c>
      <c r="E396" s="115" t="s">
        <v>482</v>
      </c>
      <c r="F396" s="116" t="s">
        <v>126</v>
      </c>
      <c r="G396" s="115">
        <v>160</v>
      </c>
      <c r="H396" s="117">
        <v>44770</v>
      </c>
      <c r="I396" s="115">
        <v>3750</v>
      </c>
      <c r="J396" s="115">
        <v>5.35</v>
      </c>
      <c r="K396" s="115">
        <v>0</v>
      </c>
      <c r="L396" s="119">
        <f t="shared" ca="1" si="1550"/>
        <v>0</v>
      </c>
      <c r="M396" s="119">
        <f t="shared" si="1551"/>
        <v>0</v>
      </c>
      <c r="N396" s="115">
        <f t="shared" si="1552"/>
        <v>0</v>
      </c>
      <c r="O396" s="156">
        <f t="shared" si="1553"/>
        <v>4.0124999999999993</v>
      </c>
      <c r="P396" s="160">
        <f t="shared" si="754"/>
        <v>20062.5</v>
      </c>
      <c r="Q396" s="160">
        <f t="shared" si="1554"/>
        <v>-2812.5</v>
      </c>
      <c r="R396" s="153" t="e">
        <f t="shared" ca="1" si="1535"/>
        <v>#VALUE!</v>
      </c>
      <c r="S396" s="119">
        <f t="shared" si="1555"/>
        <v>0.53499999999999981</v>
      </c>
      <c r="T396" s="115" t="e">
        <f>VLOOKUP(TRIM($F396),Reference!B:C,2,0)</f>
        <v>#VALUE!</v>
      </c>
      <c r="U396" s="170">
        <f t="shared" ca="1" si="1556"/>
        <v>0</v>
      </c>
      <c r="V396" s="120" t="str">
        <f t="shared" si="1524"/>
        <v>IEX22JUL160PE</v>
      </c>
      <c r="W396" s="158">
        <f>VLOOKUP($V396,Reference!BA:BD,4,0)</f>
        <v>4.5999999999999996</v>
      </c>
      <c r="X396" s="160">
        <f t="shared" ca="1" si="1525"/>
        <v>0</v>
      </c>
      <c r="Y396" s="160">
        <f t="shared" ca="1" si="1526"/>
        <v>0</v>
      </c>
      <c r="Z396" s="160">
        <f t="shared" ca="1" si="1538"/>
        <v>0</v>
      </c>
      <c r="AA396" s="160">
        <f t="shared" ca="1" si="1527"/>
        <v>0</v>
      </c>
      <c r="AB396" s="160">
        <f t="shared" ca="1" si="1528"/>
        <v>0</v>
      </c>
      <c r="AC396" s="119">
        <f t="shared" ca="1" si="1529"/>
        <v>0</v>
      </c>
      <c r="AD396" s="115">
        <f t="shared" ca="1" si="1557"/>
        <v>-1.1342465753424658</v>
      </c>
      <c r="AE396" s="115">
        <f t="shared" si="1558"/>
        <v>20</v>
      </c>
      <c r="AF396" s="115"/>
      <c r="AG396" s="115"/>
      <c r="AH396" s="115">
        <f t="shared" si="755"/>
        <v>0</v>
      </c>
      <c r="AI396" s="115"/>
      <c r="AJ396" s="115">
        <f t="shared" si="756"/>
        <v>0.60187500000000005</v>
      </c>
      <c r="AK396" s="115"/>
      <c r="AL396" s="142"/>
      <c r="AM396" s="153"/>
      <c r="AN396" s="153"/>
      <c r="AO396" s="153"/>
      <c r="AP396" s="153"/>
      <c r="AQ396" s="153"/>
      <c r="AR396" s="153"/>
      <c r="AS396" s="153"/>
      <c r="AT396" s="153"/>
      <c r="AU396" s="153"/>
      <c r="AV396" s="153"/>
      <c r="AW396" s="153"/>
      <c r="AX396" s="153"/>
      <c r="AY396" s="153"/>
      <c r="AZ396" s="153"/>
      <c r="BA396" s="153"/>
      <c r="BB396" s="153"/>
      <c r="BC396" s="153"/>
      <c r="BD396" s="153"/>
      <c r="BE396" s="153"/>
      <c r="BF396" s="153"/>
      <c r="BG396" s="153"/>
      <c r="BS396" s="13">
        <v>2</v>
      </c>
      <c r="BT396" s="123">
        <v>44491</v>
      </c>
      <c r="BU396" s="116" t="s">
        <v>8</v>
      </c>
      <c r="BV396" s="115" t="s">
        <v>482</v>
      </c>
      <c r="BW396" s="116" t="s">
        <v>502</v>
      </c>
      <c r="BX396" s="115">
        <v>18400</v>
      </c>
      <c r="BY396" s="115">
        <v>41.7</v>
      </c>
      <c r="BZ396" s="115">
        <v>47.945</v>
      </c>
      <c r="CA396" s="119">
        <v>-3216.6708800000001</v>
      </c>
      <c r="CB396" s="115">
        <v>1.1497601918465228</v>
      </c>
      <c r="CC396" s="115">
        <v>500</v>
      </c>
      <c r="CD396" s="115">
        <v>50</v>
      </c>
      <c r="CE396" s="119">
        <v>20850</v>
      </c>
    </row>
    <row r="397" spans="1:83" hidden="1">
      <c r="A397" s="13">
        <f t="shared" si="753"/>
        <v>390</v>
      </c>
      <c r="B397" s="123">
        <v>44749</v>
      </c>
      <c r="C397" s="116" t="s">
        <v>8</v>
      </c>
      <c r="D397" s="116">
        <v>1</v>
      </c>
      <c r="E397" s="115" t="s">
        <v>481</v>
      </c>
      <c r="F397" s="116" t="s">
        <v>126</v>
      </c>
      <c r="G397" s="115">
        <v>175</v>
      </c>
      <c r="H397" s="117">
        <v>44770</v>
      </c>
      <c r="I397" s="115">
        <v>3750</v>
      </c>
      <c r="J397" s="115">
        <v>2.8</v>
      </c>
      <c r="K397" s="115">
        <v>0</v>
      </c>
      <c r="L397" s="119">
        <f t="shared" ref="L397" ca="1" si="1559">IF(AND(K397&lt;&gt;0,I397&lt;&gt;0),(IF(C397="B",1,-1))*(K397-J397)*I397-AK397*2,0)*$D397*IF(MONTH($B$2)=MONTH($H397),1,0)</f>
        <v>0</v>
      </c>
      <c r="M397" s="119">
        <f t="shared" ref="M397" si="1560">IF(AND(K397&lt;&gt;0,I397&lt;&gt;0),(IF(C397="B",1,-1))*(K397-J397)*I397-AK397*2,0)*$D397</f>
        <v>0</v>
      </c>
      <c r="N397" s="115">
        <f t="shared" ref="N397" si="1561">K397/$J397</f>
        <v>0</v>
      </c>
      <c r="O397" s="156">
        <f t="shared" ref="O397" si="1562">J397*(1+$O$6*IF(C397="B",-1,1))</f>
        <v>3.5</v>
      </c>
      <c r="P397" s="160">
        <f t="shared" si="754"/>
        <v>10500</v>
      </c>
      <c r="Q397" s="160">
        <f t="shared" ref="Q397" si="1563">(W397-J397)*I397*IF(C397="B",1,-1)*IF(K397=0,1,0)</f>
        <v>3374.9999999999995</v>
      </c>
      <c r="R397" s="153" t="e">
        <f t="shared" ca="1" si="1535"/>
        <v>#VALUE!</v>
      </c>
      <c r="S397" s="119">
        <f t="shared" ref="S397" si="1564">(1-$S$6)*J397</f>
        <v>0.27999999999999992</v>
      </c>
      <c r="T397" s="115" t="e">
        <f>VLOOKUP(TRIM($F397),Reference!B:C,2,0)</f>
        <v>#VALUE!</v>
      </c>
      <c r="U397" s="170">
        <f t="shared" ref="U397" ca="1" si="1565">AC397</f>
        <v>0</v>
      </c>
      <c r="V397" s="120" t="str">
        <f t="shared" si="1524"/>
        <v>IEX22JUL175CE</v>
      </c>
      <c r="W397" s="158">
        <f>VLOOKUP($V397,Reference!BA:BD,4,0)</f>
        <v>1.9</v>
      </c>
      <c r="X397" s="160">
        <f t="shared" ca="1" si="1525"/>
        <v>0</v>
      </c>
      <c r="Y397" s="160">
        <f t="shared" ca="1" si="1526"/>
        <v>0</v>
      </c>
      <c r="Z397" s="160">
        <f t="shared" ca="1" si="1538"/>
        <v>0</v>
      </c>
      <c r="AA397" s="160">
        <f t="shared" ca="1" si="1527"/>
        <v>0</v>
      </c>
      <c r="AB397" s="160">
        <f t="shared" ca="1" si="1528"/>
        <v>0</v>
      </c>
      <c r="AC397" s="119">
        <f t="shared" ca="1" si="1529"/>
        <v>0</v>
      </c>
      <c r="AD397" s="115">
        <f t="shared" ref="AD397" ca="1" si="1566">(H397-TODAY())/365</f>
        <v>-1.1342465753424658</v>
      </c>
      <c r="AE397" s="115">
        <f t="shared" ref="AE397" si="1567">IF(I397&lt;&gt;0,20,0)</f>
        <v>20</v>
      </c>
      <c r="AF397" s="115"/>
      <c r="AG397" s="115"/>
      <c r="AH397" s="115">
        <f t="shared" si="755"/>
        <v>5.25</v>
      </c>
      <c r="AI397" s="115"/>
      <c r="AJ397" s="115">
        <f t="shared" si="756"/>
        <v>0</v>
      </c>
      <c r="AK397" s="115"/>
      <c r="AL397" s="142"/>
      <c r="AM397" s="153"/>
      <c r="AN397" s="153"/>
      <c r="AO397" s="153"/>
      <c r="AP397" s="153"/>
      <c r="AQ397" s="153"/>
      <c r="AR397" s="153"/>
      <c r="AS397" s="153"/>
      <c r="AT397" s="153"/>
      <c r="AU397" s="153"/>
      <c r="AV397" s="153"/>
      <c r="AW397" s="153"/>
      <c r="AX397" s="153"/>
      <c r="AY397" s="153"/>
      <c r="AZ397" s="153"/>
      <c r="BA397" s="153"/>
      <c r="BB397" s="153"/>
      <c r="BC397" s="153"/>
      <c r="BD397" s="153"/>
      <c r="BE397" s="153"/>
      <c r="BF397" s="153"/>
      <c r="BG397" s="153"/>
      <c r="BS397" s="13">
        <v>2</v>
      </c>
      <c r="BT397" s="123">
        <v>44491</v>
      </c>
      <c r="BU397" s="116" t="s">
        <v>8</v>
      </c>
      <c r="BV397" s="115" t="s">
        <v>482</v>
      </c>
      <c r="BW397" s="116" t="s">
        <v>502</v>
      </c>
      <c r="BX397" s="115">
        <v>18400</v>
      </c>
      <c r="BY397" s="115">
        <v>41.7</v>
      </c>
      <c r="BZ397" s="115">
        <v>47.945</v>
      </c>
      <c r="CA397" s="119">
        <v>-3216.6708800000001</v>
      </c>
      <c r="CB397" s="115">
        <v>1.1497601918465228</v>
      </c>
      <c r="CC397" s="115">
        <v>500</v>
      </c>
      <c r="CD397" s="115">
        <v>50</v>
      </c>
      <c r="CE397" s="119">
        <v>20850</v>
      </c>
    </row>
    <row r="398" spans="1:83" hidden="1">
      <c r="A398" s="13">
        <f t="shared" si="753"/>
        <v>391</v>
      </c>
      <c r="B398" s="123">
        <v>44749</v>
      </c>
      <c r="C398" s="116" t="s">
        <v>8</v>
      </c>
      <c r="D398" s="116">
        <v>1</v>
      </c>
      <c r="E398" s="115" t="s">
        <v>481</v>
      </c>
      <c r="F398" s="116" t="s">
        <v>126</v>
      </c>
      <c r="G398" s="115">
        <v>170</v>
      </c>
      <c r="H398" s="117">
        <v>44770</v>
      </c>
      <c r="I398" s="115">
        <v>3750</v>
      </c>
      <c r="J398" s="115">
        <v>4.2</v>
      </c>
      <c r="K398" s="115">
        <v>0</v>
      </c>
      <c r="L398" s="119">
        <f t="shared" ref="L398:L399" ca="1" si="1568">IF(AND(K398&lt;&gt;0,I398&lt;&gt;0),(IF(C398="B",1,-1))*(K398-J398)*I398-AK398*2,0)*$D398*IF(MONTH($B$2)=MONTH($H398),1,0)</f>
        <v>0</v>
      </c>
      <c r="M398" s="119">
        <f t="shared" ref="M398:M399" si="1569">IF(AND(K398&lt;&gt;0,I398&lt;&gt;0),(IF(C398="B",1,-1))*(K398-J398)*I398-AK398*2,0)*$D398</f>
        <v>0</v>
      </c>
      <c r="N398" s="115">
        <f t="shared" ref="N398:N399" si="1570">K398/$J398</f>
        <v>0</v>
      </c>
      <c r="O398" s="156">
        <f t="shared" ref="O398:O399" si="1571">J398*(1+$O$6*IF(C398="B",-1,1))</f>
        <v>5.25</v>
      </c>
      <c r="P398" s="160">
        <f t="shared" si="754"/>
        <v>15750</v>
      </c>
      <c r="Q398" s="160">
        <f t="shared" ref="Q398:Q399" si="1572">(W398-J398)*I398*IF(C398="B",1,-1)*IF(K398=0,1,0)</f>
        <v>3937.5000000000009</v>
      </c>
      <c r="R398" s="153" t="e">
        <f t="shared" ca="1" si="1535"/>
        <v>#VALUE!</v>
      </c>
      <c r="S398" s="119">
        <f t="shared" ref="S398:S399" si="1573">(1-$S$6)*J398</f>
        <v>0.41999999999999993</v>
      </c>
      <c r="T398" s="115" t="e">
        <f>VLOOKUP(TRIM($F398),Reference!B:C,2,0)</f>
        <v>#VALUE!</v>
      </c>
      <c r="U398" s="170">
        <f t="shared" ref="U398:U399" ca="1" si="1574">AC398</f>
        <v>0</v>
      </c>
      <c r="V398" s="120" t="str">
        <f t="shared" si="1524"/>
        <v>IEX22JUL170CE</v>
      </c>
      <c r="W398" s="158">
        <f>VLOOKUP($V398,Reference!BA:BD,4,0)</f>
        <v>3.15</v>
      </c>
      <c r="X398" s="160">
        <f t="shared" ca="1" si="1525"/>
        <v>0</v>
      </c>
      <c r="Y398" s="160">
        <f t="shared" ca="1" si="1526"/>
        <v>0</v>
      </c>
      <c r="Z398" s="160">
        <f t="shared" ca="1" si="1538"/>
        <v>0</v>
      </c>
      <c r="AA398" s="160">
        <f t="shared" ca="1" si="1527"/>
        <v>0</v>
      </c>
      <c r="AB398" s="160">
        <f t="shared" ca="1" si="1528"/>
        <v>0</v>
      </c>
      <c r="AC398" s="119">
        <f t="shared" ca="1" si="1529"/>
        <v>0</v>
      </c>
      <c r="AD398" s="115">
        <f t="shared" ref="AD398:AD399" ca="1" si="1575">(H398-TODAY())/365</f>
        <v>-1.1342465753424658</v>
      </c>
      <c r="AE398" s="115">
        <f t="shared" ref="AE398:AE399" si="1576">IF(I398&lt;&gt;0,20,0)</f>
        <v>20</v>
      </c>
      <c r="AF398" s="115"/>
      <c r="AG398" s="115"/>
      <c r="AH398" s="115">
        <f t="shared" si="755"/>
        <v>7.875</v>
      </c>
      <c r="AI398" s="115"/>
      <c r="AJ398" s="115">
        <f t="shared" si="756"/>
        <v>0</v>
      </c>
      <c r="AK398" s="115"/>
      <c r="AL398" s="142"/>
      <c r="AM398" s="153"/>
      <c r="AN398" s="153"/>
      <c r="AO398" s="153"/>
      <c r="AP398" s="153"/>
      <c r="AQ398" s="153"/>
      <c r="AR398" s="153"/>
      <c r="AS398" s="153"/>
      <c r="AT398" s="153"/>
      <c r="AU398" s="153"/>
      <c r="AV398" s="153"/>
      <c r="AW398" s="153"/>
      <c r="AX398" s="153"/>
      <c r="AY398" s="153"/>
      <c r="AZ398" s="153"/>
      <c r="BA398" s="153"/>
      <c r="BB398" s="153"/>
      <c r="BC398" s="153"/>
      <c r="BD398" s="153"/>
      <c r="BE398" s="153"/>
      <c r="BF398" s="153"/>
      <c r="BG398" s="153"/>
      <c r="BS398" s="13">
        <v>2</v>
      </c>
      <c r="BT398" s="123">
        <v>44491</v>
      </c>
      <c r="BU398" s="116" t="s">
        <v>8</v>
      </c>
      <c r="BV398" s="115" t="s">
        <v>482</v>
      </c>
      <c r="BW398" s="116" t="s">
        <v>502</v>
      </c>
      <c r="BX398" s="115">
        <v>18400</v>
      </c>
      <c r="BY398" s="115">
        <v>41.7</v>
      </c>
      <c r="BZ398" s="115">
        <v>47.945</v>
      </c>
      <c r="CA398" s="119">
        <v>-3216.6708800000001</v>
      </c>
      <c r="CB398" s="115">
        <v>1.1497601918465228</v>
      </c>
      <c r="CC398" s="115">
        <v>500</v>
      </c>
      <c r="CD398" s="115">
        <v>50</v>
      </c>
      <c r="CE398" s="119">
        <v>20850</v>
      </c>
    </row>
    <row r="399" spans="1:83" hidden="1">
      <c r="A399" s="13">
        <f t="shared" si="753"/>
        <v>392</v>
      </c>
      <c r="B399" s="123">
        <v>44749</v>
      </c>
      <c r="C399" s="116" t="s">
        <v>6</v>
      </c>
      <c r="D399" s="116">
        <v>1</v>
      </c>
      <c r="E399" s="115" t="s">
        <v>482</v>
      </c>
      <c r="F399" s="116" t="s">
        <v>502</v>
      </c>
      <c r="G399" s="115">
        <v>16000</v>
      </c>
      <c r="H399" s="117">
        <v>44770</v>
      </c>
      <c r="I399" s="115">
        <v>50</v>
      </c>
      <c r="J399" s="115">
        <v>260.5</v>
      </c>
      <c r="K399" s="115">
        <v>0</v>
      </c>
      <c r="L399" s="119">
        <f t="shared" ca="1" si="1568"/>
        <v>0</v>
      </c>
      <c r="M399" s="119">
        <f t="shared" si="1569"/>
        <v>0</v>
      </c>
      <c r="N399" s="115">
        <f t="shared" si="1570"/>
        <v>0</v>
      </c>
      <c r="O399" s="156">
        <f t="shared" si="1571"/>
        <v>195.375</v>
      </c>
      <c r="P399" s="160">
        <f t="shared" si="754"/>
        <v>13025</v>
      </c>
      <c r="Q399" s="160">
        <f t="shared" si="1572"/>
        <v>-825</v>
      </c>
      <c r="R399" s="153" t="e">
        <f t="shared" ca="1" si="1535"/>
        <v>#VALUE!</v>
      </c>
      <c r="S399" s="119">
        <f t="shared" si="1573"/>
        <v>26.049999999999994</v>
      </c>
      <c r="T399" s="115" t="str">
        <f>VLOOKUP(TRIM($F399),Reference!B:C,2,0)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99" s="170">
        <f t="shared" ca="1" si="1574"/>
        <v>0</v>
      </c>
      <c r="V399" s="120" t="str">
        <f t="shared" si="1524"/>
        <v>NIFTY22JUL16000PE</v>
      </c>
      <c r="W399" s="158">
        <f>VLOOKUP($V399,Reference!BA:BD,4,0)</f>
        <v>244</v>
      </c>
      <c r="X399" s="160">
        <f t="shared" ca="1" si="1525"/>
        <v>0</v>
      </c>
      <c r="Y399" s="160">
        <f t="shared" ca="1" si="1526"/>
        <v>0</v>
      </c>
      <c r="Z399" s="160">
        <f t="shared" ca="1" si="1538"/>
        <v>0</v>
      </c>
      <c r="AA399" s="160">
        <f t="shared" ca="1" si="1527"/>
        <v>0</v>
      </c>
      <c r="AB399" s="160">
        <f t="shared" ca="1" si="1528"/>
        <v>0</v>
      </c>
      <c r="AC399" s="119">
        <f t="shared" ca="1" si="1529"/>
        <v>0</v>
      </c>
      <c r="AD399" s="115">
        <f t="shared" ca="1" si="1575"/>
        <v>-1.1342465753424658</v>
      </c>
      <c r="AE399" s="115">
        <f t="shared" si="1576"/>
        <v>20</v>
      </c>
      <c r="AF399" s="115"/>
      <c r="AG399" s="115"/>
      <c r="AH399" s="115">
        <f t="shared" si="755"/>
        <v>0</v>
      </c>
      <c r="AI399" s="115"/>
      <c r="AJ399" s="115">
        <f t="shared" si="756"/>
        <v>0.39074999999999999</v>
      </c>
      <c r="AK399" s="115"/>
      <c r="AL399" s="142"/>
      <c r="AM399" s="153"/>
      <c r="AN399" s="153"/>
      <c r="AO399" s="153"/>
      <c r="AP399" s="153"/>
      <c r="AQ399" s="153"/>
      <c r="AR399" s="153"/>
      <c r="AS399" s="153"/>
      <c r="AT399" s="153"/>
      <c r="AU399" s="153"/>
      <c r="AV399" s="153"/>
      <c r="AW399" s="153"/>
      <c r="AX399" s="153"/>
      <c r="AY399" s="153"/>
      <c r="AZ399" s="153"/>
      <c r="BA399" s="153"/>
      <c r="BB399" s="153"/>
      <c r="BC399" s="153"/>
      <c r="BD399" s="153"/>
      <c r="BE399" s="153"/>
      <c r="BF399" s="153"/>
      <c r="BG399" s="153"/>
      <c r="BS399" s="13">
        <v>2</v>
      </c>
      <c r="BT399" s="123">
        <v>44491</v>
      </c>
      <c r="BU399" s="116" t="s">
        <v>8</v>
      </c>
      <c r="BV399" s="115" t="s">
        <v>482</v>
      </c>
      <c r="BW399" s="116" t="s">
        <v>502</v>
      </c>
      <c r="BX399" s="115">
        <v>18400</v>
      </c>
      <c r="BY399" s="115">
        <v>41.7</v>
      </c>
      <c r="BZ399" s="115">
        <v>47.945</v>
      </c>
      <c r="CA399" s="119">
        <v>-3216.6708800000001</v>
      </c>
      <c r="CB399" s="115">
        <v>1.1497601918465228</v>
      </c>
      <c r="CC399" s="115">
        <v>500</v>
      </c>
      <c r="CD399" s="115">
        <v>50</v>
      </c>
      <c r="CE399" s="119">
        <v>20850</v>
      </c>
    </row>
    <row r="400" spans="1:83" hidden="1">
      <c r="A400" s="13">
        <f t="shared" si="753"/>
        <v>393</v>
      </c>
      <c r="B400" s="123">
        <v>44749</v>
      </c>
      <c r="C400" s="116" t="s">
        <v>8</v>
      </c>
      <c r="D400" s="116">
        <v>1</v>
      </c>
      <c r="E400" s="115" t="s">
        <v>482</v>
      </c>
      <c r="F400" s="116" t="s">
        <v>502</v>
      </c>
      <c r="G400" s="115">
        <v>15200</v>
      </c>
      <c r="H400" s="117">
        <v>44770</v>
      </c>
      <c r="I400" s="115">
        <v>50</v>
      </c>
      <c r="J400" s="115">
        <v>66.3</v>
      </c>
      <c r="K400" s="115">
        <v>0</v>
      </c>
      <c r="L400" s="119">
        <f t="shared" ref="L400:L401" ca="1" si="1577">IF(AND(K400&lt;&gt;0,I400&lt;&gt;0),(IF(C400="B",1,-1))*(K400-J400)*I400-AK400*2,0)*$D400*IF(MONTH($B$2)=MONTH($H400),1,0)</f>
        <v>0</v>
      </c>
      <c r="M400" s="119">
        <f t="shared" ref="M400:M401" si="1578">IF(AND(K400&lt;&gt;0,I400&lt;&gt;0),(IF(C400="B",1,-1))*(K400-J400)*I400-AK400*2,0)*$D400</f>
        <v>0</v>
      </c>
      <c r="N400" s="115">
        <f t="shared" ref="N400:N401" si="1579">K400/$J400</f>
        <v>0</v>
      </c>
      <c r="O400" s="156">
        <f t="shared" ref="O400:O401" si="1580">J400*(1+$O$6*IF(C400="B",-1,1))</f>
        <v>82.875</v>
      </c>
      <c r="P400" s="160">
        <f t="shared" si="754"/>
        <v>3315</v>
      </c>
      <c r="Q400" s="160">
        <f t="shared" ref="Q400:Q401" si="1581">(W400-J400)*I400*IF(C400="B",1,-1)*IF(K400=0,1,0)</f>
        <v>1497.4999999999998</v>
      </c>
      <c r="R400" s="153" t="e">
        <f t="shared" ca="1" si="1535"/>
        <v>#VALUE!</v>
      </c>
      <c r="S400" s="119">
        <f t="shared" ref="S400:S401" si="1582">(1-$S$6)*J400</f>
        <v>6.6299999999999981</v>
      </c>
      <c r="T400" s="115" t="str">
        <f>VLOOKUP(TRIM($F400),Reference!B:C,2,0)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00" s="170">
        <f t="shared" ref="U400:U401" ca="1" si="1583">AC400</f>
        <v>0</v>
      </c>
      <c r="V400" s="120" t="str">
        <f t="shared" si="1524"/>
        <v>NIFTY22JUL15200PE</v>
      </c>
      <c r="W400" s="158">
        <f>VLOOKUP($V400,Reference!BA:BD,4,0)</f>
        <v>36.35</v>
      </c>
      <c r="X400" s="160">
        <f t="shared" ca="1" si="1525"/>
        <v>0</v>
      </c>
      <c r="Y400" s="160">
        <f t="shared" ca="1" si="1526"/>
        <v>0</v>
      </c>
      <c r="Z400" s="160">
        <f t="shared" ca="1" si="1538"/>
        <v>0</v>
      </c>
      <c r="AA400" s="160">
        <f t="shared" ca="1" si="1527"/>
        <v>0</v>
      </c>
      <c r="AB400" s="160">
        <f t="shared" ca="1" si="1528"/>
        <v>0</v>
      </c>
      <c r="AC400" s="119">
        <f t="shared" ca="1" si="1529"/>
        <v>0</v>
      </c>
      <c r="AD400" s="115">
        <f t="shared" ref="AD400:AD401" ca="1" si="1584">(H400-TODAY())/365</f>
        <v>-1.1342465753424658</v>
      </c>
      <c r="AE400" s="115">
        <f t="shared" ref="AE400:AE401" si="1585">IF(I400&lt;&gt;0,20,0)</f>
        <v>20</v>
      </c>
      <c r="AF400" s="115"/>
      <c r="AG400" s="115"/>
      <c r="AH400" s="115">
        <f t="shared" si="755"/>
        <v>1.6575</v>
      </c>
      <c r="AI400" s="115"/>
      <c r="AJ400" s="115">
        <f t="shared" si="756"/>
        <v>0</v>
      </c>
      <c r="AK400" s="115"/>
      <c r="AL400" s="142"/>
      <c r="AM400" s="153"/>
      <c r="AN400" s="153"/>
      <c r="AO400" s="153"/>
      <c r="AP400" s="153"/>
      <c r="AQ400" s="153"/>
      <c r="AR400" s="153"/>
      <c r="AS400" s="153"/>
      <c r="AT400" s="153"/>
      <c r="AU400" s="153"/>
      <c r="AV400" s="153"/>
      <c r="AW400" s="153"/>
      <c r="AX400" s="153"/>
      <c r="AY400" s="153"/>
      <c r="AZ400" s="153"/>
      <c r="BA400" s="153"/>
      <c r="BB400" s="153"/>
      <c r="BC400" s="153"/>
      <c r="BD400" s="153"/>
      <c r="BE400" s="153"/>
      <c r="BF400" s="153"/>
      <c r="BG400" s="153"/>
      <c r="BS400" s="13">
        <v>2</v>
      </c>
      <c r="BT400" s="123">
        <v>44491</v>
      </c>
      <c r="BU400" s="116" t="s">
        <v>8</v>
      </c>
      <c r="BV400" s="115" t="s">
        <v>482</v>
      </c>
      <c r="BW400" s="116" t="s">
        <v>502</v>
      </c>
      <c r="BX400" s="115">
        <v>18400</v>
      </c>
      <c r="BY400" s="115">
        <v>41.7</v>
      </c>
      <c r="BZ400" s="115">
        <v>47.945</v>
      </c>
      <c r="CA400" s="119">
        <v>-3216.6708800000001</v>
      </c>
      <c r="CB400" s="115">
        <v>1.1497601918465228</v>
      </c>
      <c r="CC400" s="115">
        <v>500</v>
      </c>
      <c r="CD400" s="115">
        <v>50</v>
      </c>
      <c r="CE400" s="119">
        <v>20850</v>
      </c>
    </row>
    <row r="401" spans="1:83" hidden="1">
      <c r="A401" s="13">
        <f t="shared" si="753"/>
        <v>394</v>
      </c>
      <c r="B401" s="123">
        <v>44749</v>
      </c>
      <c r="C401" s="116" t="s">
        <v>8</v>
      </c>
      <c r="D401" s="116">
        <v>1</v>
      </c>
      <c r="E401" s="115" t="s">
        <v>481</v>
      </c>
      <c r="F401" s="116" t="s">
        <v>126</v>
      </c>
      <c r="G401" s="115">
        <v>172.5</v>
      </c>
      <c r="H401" s="117">
        <v>44770</v>
      </c>
      <c r="I401" s="115">
        <v>3750</v>
      </c>
      <c r="J401" s="115">
        <v>3.6</v>
      </c>
      <c r="K401" s="115">
        <v>0</v>
      </c>
      <c r="L401" s="119">
        <f t="shared" ca="1" si="1577"/>
        <v>0</v>
      </c>
      <c r="M401" s="119">
        <f t="shared" si="1578"/>
        <v>0</v>
      </c>
      <c r="N401" s="115">
        <f t="shared" si="1579"/>
        <v>0</v>
      </c>
      <c r="O401" s="156">
        <f t="shared" si="1580"/>
        <v>4.5</v>
      </c>
      <c r="P401" s="160">
        <f t="shared" si="754"/>
        <v>13500</v>
      </c>
      <c r="Q401" s="160">
        <f t="shared" si="1581"/>
        <v>4312.5</v>
      </c>
      <c r="R401" s="153" t="e">
        <f t="shared" ca="1" si="1535"/>
        <v>#VALUE!</v>
      </c>
      <c r="S401" s="119">
        <f t="shared" si="1582"/>
        <v>0.35999999999999993</v>
      </c>
      <c r="T401" s="115" t="e">
        <f>VLOOKUP(TRIM($F401),Reference!B:C,2,0)</f>
        <v>#VALUE!</v>
      </c>
      <c r="U401" s="170">
        <f t="shared" ca="1" si="1583"/>
        <v>0</v>
      </c>
      <c r="V401" s="120" t="str">
        <f t="shared" si="1524"/>
        <v>IEX22JUL172.5CE</v>
      </c>
      <c r="W401" s="158">
        <f>VLOOKUP($V401,Reference!BA:BD,4,0)</f>
        <v>2.4500000000000002</v>
      </c>
      <c r="X401" s="160">
        <f t="shared" ca="1" si="1525"/>
        <v>0</v>
      </c>
      <c r="Y401" s="160">
        <f t="shared" ca="1" si="1526"/>
        <v>0</v>
      </c>
      <c r="Z401" s="160">
        <f t="shared" ca="1" si="1538"/>
        <v>0</v>
      </c>
      <c r="AA401" s="160">
        <f t="shared" ca="1" si="1527"/>
        <v>0</v>
      </c>
      <c r="AB401" s="160">
        <f t="shared" ca="1" si="1528"/>
        <v>0</v>
      </c>
      <c r="AC401" s="119">
        <f t="shared" ca="1" si="1529"/>
        <v>0</v>
      </c>
      <c r="AD401" s="115">
        <f t="shared" ca="1" si="1584"/>
        <v>-1.1342465753424658</v>
      </c>
      <c r="AE401" s="115">
        <f t="shared" si="1585"/>
        <v>20</v>
      </c>
      <c r="AF401" s="115"/>
      <c r="AG401" s="115"/>
      <c r="AH401" s="115">
        <f t="shared" si="755"/>
        <v>6.75</v>
      </c>
      <c r="AI401" s="115"/>
      <c r="AJ401" s="115">
        <f t="shared" si="756"/>
        <v>0</v>
      </c>
      <c r="AK401" s="115"/>
      <c r="AL401" s="142"/>
      <c r="AM401" s="153"/>
      <c r="AN401" s="153"/>
      <c r="AO401" s="153"/>
      <c r="AP401" s="153"/>
      <c r="AQ401" s="153"/>
      <c r="AR401" s="153"/>
      <c r="AS401" s="153"/>
      <c r="AT401" s="153"/>
      <c r="AU401" s="153"/>
      <c r="AV401" s="153"/>
      <c r="AW401" s="153"/>
      <c r="AX401" s="153"/>
      <c r="AY401" s="153"/>
      <c r="AZ401" s="153"/>
      <c r="BA401" s="153"/>
      <c r="BB401" s="153"/>
      <c r="BC401" s="153"/>
      <c r="BD401" s="153"/>
      <c r="BE401" s="153"/>
      <c r="BF401" s="153"/>
      <c r="BG401" s="153"/>
      <c r="BS401" s="13">
        <v>2</v>
      </c>
      <c r="BT401" s="123">
        <v>44491</v>
      </c>
      <c r="BU401" s="116" t="s">
        <v>8</v>
      </c>
      <c r="BV401" s="115" t="s">
        <v>482</v>
      </c>
      <c r="BW401" s="116" t="s">
        <v>502</v>
      </c>
      <c r="BX401" s="115">
        <v>18400</v>
      </c>
      <c r="BY401" s="115">
        <v>41.7</v>
      </c>
      <c r="BZ401" s="115">
        <v>47.945</v>
      </c>
      <c r="CA401" s="119">
        <v>-3216.6708800000001</v>
      </c>
      <c r="CB401" s="115">
        <v>1.1497601918465228</v>
      </c>
      <c r="CC401" s="115">
        <v>500</v>
      </c>
      <c r="CD401" s="115">
        <v>50</v>
      </c>
      <c r="CE401" s="119">
        <v>20850</v>
      </c>
    </row>
    <row r="402" spans="1:83" hidden="1">
      <c r="A402" s="13">
        <f t="shared" si="753"/>
        <v>395</v>
      </c>
      <c r="B402" s="123">
        <v>44749</v>
      </c>
      <c r="C402" s="116" t="s">
        <v>8</v>
      </c>
      <c r="D402" s="116">
        <v>1</v>
      </c>
      <c r="E402" s="115" t="s">
        <v>481</v>
      </c>
      <c r="F402" s="116" t="s">
        <v>90</v>
      </c>
      <c r="G402" s="115">
        <v>3400</v>
      </c>
      <c r="H402" s="117">
        <v>44770</v>
      </c>
      <c r="I402" s="115">
        <v>150</v>
      </c>
      <c r="J402" s="115">
        <v>50.15</v>
      </c>
      <c r="K402" s="115">
        <v>0</v>
      </c>
      <c r="L402" s="119">
        <f t="shared" ref="L402:L403" ca="1" si="1586">IF(AND(K402&lt;&gt;0,I402&lt;&gt;0),(IF(C402="B",1,-1))*(K402-J402)*I402-AK402*2,0)*$D402*IF(MONTH($B$2)=MONTH($H402),1,0)</f>
        <v>0</v>
      </c>
      <c r="M402" s="119">
        <f t="shared" ref="M402:M403" si="1587">IF(AND(K402&lt;&gt;0,I402&lt;&gt;0),(IF(C402="B",1,-1))*(K402-J402)*I402-AK402*2,0)*$D402</f>
        <v>0</v>
      </c>
      <c r="N402" s="115">
        <f t="shared" ref="N402:N403" si="1588">K402/$J402</f>
        <v>0</v>
      </c>
      <c r="O402" s="156">
        <f t="shared" ref="O402:O403" si="1589">J402*(1+$O$6*IF(C402="B",-1,1))</f>
        <v>62.6875</v>
      </c>
      <c r="P402" s="160">
        <f t="shared" si="754"/>
        <v>7522.5</v>
      </c>
      <c r="Q402" s="160">
        <f t="shared" ref="Q402:Q403" si="1590">(W402-J402)*I402*IF(C402="B",1,-1)*IF(K402=0,1,0)</f>
        <v>7079.9999999999991</v>
      </c>
      <c r="R402" s="153" t="e">
        <f t="shared" ca="1" si="1535"/>
        <v>#VALUE!</v>
      </c>
      <c r="S402" s="119">
        <f t="shared" ref="S402:S403" si="1591">(1-$S$6)*J402</f>
        <v>5.0149999999999988</v>
      </c>
      <c r="T402" s="115" t="e">
        <f>VLOOKUP(TRIM($F402),Reference!B:C,2,0)</f>
        <v>#VALUE!</v>
      </c>
      <c r="U402" s="170">
        <f t="shared" ref="U402:U403" ca="1" si="1592">AC402</f>
        <v>0</v>
      </c>
      <c r="V402" s="120" t="str">
        <f t="shared" si="1524"/>
        <v>TCS22JUL3400CE</v>
      </c>
      <c r="W402" s="158">
        <f>VLOOKUP($V402,Reference!BA:BD,4,0)</f>
        <v>2.95</v>
      </c>
      <c r="X402" s="160">
        <f t="shared" ca="1" si="1525"/>
        <v>0</v>
      </c>
      <c r="Y402" s="160">
        <f t="shared" ca="1" si="1526"/>
        <v>0</v>
      </c>
      <c r="Z402" s="160">
        <f t="shared" ca="1" si="1538"/>
        <v>0</v>
      </c>
      <c r="AA402" s="160">
        <f t="shared" ca="1" si="1527"/>
        <v>0</v>
      </c>
      <c r="AB402" s="160">
        <f t="shared" ca="1" si="1528"/>
        <v>0</v>
      </c>
      <c r="AC402" s="119">
        <f t="shared" ca="1" si="1529"/>
        <v>0</v>
      </c>
      <c r="AD402" s="115">
        <f t="shared" ref="AD402:AD403" ca="1" si="1593">(H402-TODAY())/365</f>
        <v>-1.1342465753424658</v>
      </c>
      <c r="AE402" s="115">
        <f t="shared" ref="AE402:AE403" si="1594">IF(I402&lt;&gt;0,20,0)</f>
        <v>20</v>
      </c>
      <c r="AF402" s="115"/>
      <c r="AG402" s="115"/>
      <c r="AH402" s="115">
        <f t="shared" si="755"/>
        <v>3.76125</v>
      </c>
      <c r="AI402" s="115"/>
      <c r="AJ402" s="115">
        <f t="shared" si="756"/>
        <v>0</v>
      </c>
      <c r="AK402" s="115"/>
      <c r="AL402" s="142"/>
      <c r="AM402" s="153"/>
      <c r="AN402" s="153"/>
      <c r="AO402" s="153"/>
      <c r="AP402" s="153"/>
      <c r="AQ402" s="153"/>
      <c r="AR402" s="153"/>
      <c r="AS402" s="153"/>
      <c r="AT402" s="153"/>
      <c r="AU402" s="153"/>
      <c r="AV402" s="153"/>
      <c r="AW402" s="153"/>
      <c r="AX402" s="153"/>
      <c r="AY402" s="153"/>
      <c r="AZ402" s="153"/>
      <c r="BA402" s="153"/>
      <c r="BB402" s="153"/>
      <c r="BC402" s="153"/>
      <c r="BD402" s="153"/>
      <c r="BE402" s="153"/>
      <c r="BF402" s="153"/>
      <c r="BG402" s="153"/>
      <c r="BS402" s="13">
        <v>2</v>
      </c>
      <c r="BT402" s="123">
        <v>44491</v>
      </c>
      <c r="BU402" s="116" t="s">
        <v>8</v>
      </c>
      <c r="BV402" s="115" t="s">
        <v>482</v>
      </c>
      <c r="BW402" s="116" t="s">
        <v>502</v>
      </c>
      <c r="BX402" s="115">
        <v>18400</v>
      </c>
      <c r="BY402" s="115">
        <v>41.7</v>
      </c>
      <c r="BZ402" s="115">
        <v>47.945</v>
      </c>
      <c r="CA402" s="119">
        <v>-3216.6708800000001</v>
      </c>
      <c r="CB402" s="115">
        <v>1.1497601918465228</v>
      </c>
      <c r="CC402" s="115">
        <v>500</v>
      </c>
      <c r="CD402" s="115">
        <v>50</v>
      </c>
      <c r="CE402" s="119">
        <v>20850</v>
      </c>
    </row>
    <row r="403" spans="1:83" hidden="1">
      <c r="A403" s="13">
        <f t="shared" si="753"/>
        <v>396</v>
      </c>
      <c r="B403" s="123">
        <v>44750</v>
      </c>
      <c r="C403" s="116" t="s">
        <v>6</v>
      </c>
      <c r="D403" s="116">
        <v>1</v>
      </c>
      <c r="E403" s="115" t="s">
        <v>632</v>
      </c>
      <c r="F403" s="116" t="s">
        <v>399</v>
      </c>
      <c r="G403" s="115" t="s">
        <v>568</v>
      </c>
      <c r="H403" s="117">
        <v>44798</v>
      </c>
      <c r="I403" s="115">
        <v>300</v>
      </c>
      <c r="J403" s="115">
        <v>1659.98</v>
      </c>
      <c r="K403" s="115">
        <v>0</v>
      </c>
      <c r="L403" s="119">
        <f t="shared" ca="1" si="1586"/>
        <v>0</v>
      </c>
      <c r="M403" s="119">
        <f t="shared" si="1587"/>
        <v>0</v>
      </c>
      <c r="N403" s="115">
        <f t="shared" si="1588"/>
        <v>0</v>
      </c>
      <c r="O403" s="156">
        <f t="shared" si="1589"/>
        <v>1244.9850000000001</v>
      </c>
      <c r="P403" s="160">
        <f t="shared" si="754"/>
        <v>497994</v>
      </c>
      <c r="Q403" s="160">
        <f t="shared" si="1590"/>
        <v>-8829.0000000000182</v>
      </c>
      <c r="R403" s="153" t="e">
        <f t="shared" ca="1" si="1535"/>
        <v>#VALUE!</v>
      </c>
      <c r="S403" s="119">
        <f t="shared" si="1591"/>
        <v>165.99799999999996</v>
      </c>
      <c r="T403" s="115" t="e">
        <f>VLOOKUP(TRIM($F403),Reference!B:C,2,0)</f>
        <v>#VALUE!</v>
      </c>
      <c r="U403" s="170">
        <f t="shared" ca="1" si="1592"/>
        <v>0</v>
      </c>
      <c r="V403" s="120" t="str">
        <f t="shared" si="1524"/>
        <v>LT22AUGFUT</v>
      </c>
      <c r="W403" s="158">
        <f>VLOOKUP($V403,Reference!BA:BD,4,0)</f>
        <v>1630.55</v>
      </c>
      <c r="X403" s="160">
        <f t="shared" ca="1" si="1525"/>
        <v>0</v>
      </c>
      <c r="Y403" s="160">
        <f t="shared" ca="1" si="1526"/>
        <v>0</v>
      </c>
      <c r="Z403" s="160">
        <f t="shared" ca="1" si="1538"/>
        <v>0</v>
      </c>
      <c r="AA403" s="160">
        <f t="shared" ca="1" si="1527"/>
        <v>0</v>
      </c>
      <c r="AB403" s="160">
        <f t="shared" ca="1" si="1528"/>
        <v>0</v>
      </c>
      <c r="AC403" s="119">
        <f t="shared" ca="1" si="1529"/>
        <v>0</v>
      </c>
      <c r="AD403" s="115">
        <f t="shared" ca="1" si="1593"/>
        <v>-1.0575342465753426</v>
      </c>
      <c r="AE403" s="115">
        <f t="shared" si="1594"/>
        <v>20</v>
      </c>
      <c r="AF403" s="115"/>
      <c r="AG403" s="115"/>
      <c r="AH403" s="115">
        <f t="shared" si="755"/>
        <v>0</v>
      </c>
      <c r="AI403" s="115"/>
      <c r="AJ403" s="115">
        <f t="shared" si="756"/>
        <v>14.939820000000001</v>
      </c>
      <c r="AK403" s="115"/>
      <c r="AL403" s="142"/>
      <c r="AM403" s="153"/>
      <c r="AN403" s="153"/>
      <c r="AO403" s="153"/>
      <c r="AP403" s="153"/>
      <c r="AQ403" s="153"/>
      <c r="AR403" s="153"/>
      <c r="AS403" s="153"/>
      <c r="AT403" s="153"/>
      <c r="AU403" s="153"/>
      <c r="AV403" s="153"/>
      <c r="AW403" s="153"/>
      <c r="AX403" s="153"/>
      <c r="AY403" s="153"/>
      <c r="AZ403" s="153"/>
      <c r="BA403" s="153"/>
      <c r="BB403" s="153"/>
      <c r="BC403" s="153"/>
      <c r="BD403" s="153"/>
      <c r="BE403" s="153"/>
      <c r="BF403" s="153"/>
      <c r="BG403" s="153"/>
      <c r="BS403" s="13">
        <v>2</v>
      </c>
      <c r="BT403" s="123">
        <v>44491</v>
      </c>
      <c r="BU403" s="116" t="s">
        <v>8</v>
      </c>
      <c r="BV403" s="115" t="s">
        <v>482</v>
      </c>
      <c r="BW403" s="116" t="s">
        <v>502</v>
      </c>
      <c r="BX403" s="115">
        <v>18400</v>
      </c>
      <c r="BY403" s="115">
        <v>41.7</v>
      </c>
      <c r="BZ403" s="115">
        <v>47.945</v>
      </c>
      <c r="CA403" s="119">
        <v>-3216.6708800000001</v>
      </c>
      <c r="CB403" s="115">
        <v>1.1497601918465228</v>
      </c>
      <c r="CC403" s="115">
        <v>500</v>
      </c>
      <c r="CD403" s="115">
        <v>50</v>
      </c>
      <c r="CE403" s="119">
        <v>20850</v>
      </c>
    </row>
    <row r="404" spans="1:83" hidden="1">
      <c r="A404" s="13">
        <f t="shared" si="753"/>
        <v>397</v>
      </c>
      <c r="B404" s="123">
        <v>44750</v>
      </c>
      <c r="C404" s="116" t="s">
        <v>6</v>
      </c>
      <c r="D404" s="116">
        <v>1</v>
      </c>
      <c r="E404" s="115" t="s">
        <v>632</v>
      </c>
      <c r="F404" s="116" t="s">
        <v>399</v>
      </c>
      <c r="G404" s="115" t="s">
        <v>568</v>
      </c>
      <c r="H404" s="117">
        <v>44798</v>
      </c>
      <c r="I404" s="115">
        <v>300</v>
      </c>
      <c r="J404" s="115">
        <v>1659.98</v>
      </c>
      <c r="K404" s="115">
        <v>0</v>
      </c>
      <c r="L404" s="119">
        <f t="shared" ref="L404:L405" ca="1" si="1595">IF(AND(K404&lt;&gt;0,I404&lt;&gt;0),(IF(C404="B",1,-1))*(K404-J404)*I404-AK404*2,0)*$D404*IF(MONTH($B$2)=MONTH($H404),1,0)</f>
        <v>0</v>
      </c>
      <c r="M404" s="119">
        <f t="shared" ref="M404:M405" si="1596">IF(AND(K404&lt;&gt;0,I404&lt;&gt;0),(IF(C404="B",1,-1))*(K404-J404)*I404-AK404*2,0)*$D404</f>
        <v>0</v>
      </c>
      <c r="N404" s="115">
        <f t="shared" ref="N404:N405" si="1597">K404/$J404</f>
        <v>0</v>
      </c>
      <c r="O404" s="156">
        <f t="shared" ref="O404:O405" si="1598">J404*(1+$O$6*IF(C404="B",-1,1))</f>
        <v>1244.9850000000001</v>
      </c>
      <c r="P404" s="160">
        <f t="shared" si="754"/>
        <v>497994</v>
      </c>
      <c r="Q404" s="160">
        <f t="shared" ref="Q404:Q405" si="1599">(W404-J404)*I404*IF(C404="B",1,-1)*IF(K404=0,1,0)</f>
        <v>-8829.0000000000182</v>
      </c>
      <c r="R404" s="153" t="e">
        <f t="shared" ca="1" si="1535"/>
        <v>#VALUE!</v>
      </c>
      <c r="S404" s="119">
        <f t="shared" ref="S404:S405" si="1600">(1-$S$6)*J404</f>
        <v>165.99799999999996</v>
      </c>
      <c r="T404" s="115" t="e">
        <f>VLOOKUP(TRIM($F404),Reference!B:C,2,0)</f>
        <v>#VALUE!</v>
      </c>
      <c r="U404" s="170">
        <f t="shared" ref="U404:U405" ca="1" si="1601">AC404</f>
        <v>0</v>
      </c>
      <c r="V404" s="120" t="str">
        <f t="shared" si="1524"/>
        <v>LT22AUGFUT</v>
      </c>
      <c r="W404" s="158">
        <f>VLOOKUP($V404,Reference!BA:BD,4,0)</f>
        <v>1630.55</v>
      </c>
      <c r="X404" s="160">
        <f t="shared" ca="1" si="1525"/>
        <v>0</v>
      </c>
      <c r="Y404" s="160">
        <f t="shared" ca="1" si="1526"/>
        <v>0</v>
      </c>
      <c r="Z404" s="160">
        <f t="shared" ca="1" si="1538"/>
        <v>0</v>
      </c>
      <c r="AA404" s="160">
        <f t="shared" ca="1" si="1527"/>
        <v>0</v>
      </c>
      <c r="AB404" s="160">
        <f t="shared" ca="1" si="1528"/>
        <v>0</v>
      </c>
      <c r="AC404" s="119">
        <f t="shared" ca="1" si="1529"/>
        <v>0</v>
      </c>
      <c r="AD404" s="115">
        <f t="shared" ref="AD404:AD405" ca="1" si="1602">(H404-TODAY())/365</f>
        <v>-1.0575342465753426</v>
      </c>
      <c r="AE404" s="115">
        <f t="shared" ref="AE404:AE405" si="1603">IF(I404&lt;&gt;0,20,0)</f>
        <v>20</v>
      </c>
      <c r="AF404" s="115"/>
      <c r="AG404" s="115"/>
      <c r="AH404" s="115">
        <f t="shared" si="755"/>
        <v>0</v>
      </c>
      <c r="AI404" s="115"/>
      <c r="AJ404" s="115">
        <f t="shared" si="756"/>
        <v>14.939820000000001</v>
      </c>
      <c r="AK404" s="115"/>
      <c r="AL404" s="142"/>
      <c r="AM404" s="153"/>
      <c r="AN404" s="153"/>
      <c r="AO404" s="153"/>
      <c r="AP404" s="153"/>
      <c r="AQ404" s="153"/>
      <c r="AR404" s="153"/>
      <c r="AS404" s="153"/>
      <c r="AT404" s="153"/>
      <c r="AU404" s="153"/>
      <c r="AV404" s="153"/>
      <c r="AW404" s="153"/>
      <c r="AX404" s="153"/>
      <c r="AY404" s="153"/>
      <c r="AZ404" s="153"/>
      <c r="BA404" s="153"/>
      <c r="BB404" s="153"/>
      <c r="BC404" s="153"/>
      <c r="BD404" s="153"/>
      <c r="BE404" s="153"/>
      <c r="BF404" s="153"/>
      <c r="BG404" s="153"/>
      <c r="BS404" s="13">
        <v>2</v>
      </c>
      <c r="BT404" s="123">
        <v>44491</v>
      </c>
      <c r="BU404" s="116" t="s">
        <v>8</v>
      </c>
      <c r="BV404" s="115" t="s">
        <v>482</v>
      </c>
      <c r="BW404" s="116" t="s">
        <v>502</v>
      </c>
      <c r="BX404" s="115">
        <v>18400</v>
      </c>
      <c r="BY404" s="115">
        <v>41.7</v>
      </c>
      <c r="BZ404" s="115">
        <v>47.945</v>
      </c>
      <c r="CA404" s="119">
        <v>-3216.6708800000001</v>
      </c>
      <c r="CB404" s="115">
        <v>1.1497601918465228</v>
      </c>
      <c r="CC404" s="115">
        <v>500</v>
      </c>
      <c r="CD404" s="115">
        <v>50</v>
      </c>
      <c r="CE404" s="119">
        <v>20850</v>
      </c>
    </row>
    <row r="405" spans="1:83" hidden="1">
      <c r="A405" s="13">
        <f t="shared" si="753"/>
        <v>398</v>
      </c>
      <c r="B405" s="123">
        <v>44750</v>
      </c>
      <c r="C405" s="116" t="s">
        <v>6</v>
      </c>
      <c r="D405" s="116">
        <v>1</v>
      </c>
      <c r="E405" s="115" t="s">
        <v>482</v>
      </c>
      <c r="F405" s="116" t="s">
        <v>399</v>
      </c>
      <c r="G405" s="115">
        <v>1640</v>
      </c>
      <c r="H405" s="117">
        <v>44770</v>
      </c>
      <c r="I405" s="115">
        <v>300</v>
      </c>
      <c r="J405" s="115">
        <v>30</v>
      </c>
      <c r="K405" s="115">
        <v>0</v>
      </c>
      <c r="L405" s="119">
        <f t="shared" ca="1" si="1595"/>
        <v>0</v>
      </c>
      <c r="M405" s="119">
        <f t="shared" si="1596"/>
        <v>0</v>
      </c>
      <c r="N405" s="115">
        <f t="shared" si="1597"/>
        <v>0</v>
      </c>
      <c r="O405" s="156">
        <f t="shared" si="1598"/>
        <v>22.5</v>
      </c>
      <c r="P405" s="160">
        <f t="shared" si="754"/>
        <v>9000</v>
      </c>
      <c r="Q405" s="160">
        <f t="shared" si="1599"/>
        <v>2760.0000000000009</v>
      </c>
      <c r="R405" s="153" t="e">
        <f t="shared" ca="1" si="1535"/>
        <v>#VALUE!</v>
      </c>
      <c r="S405" s="119">
        <f t="shared" si="1600"/>
        <v>2.9999999999999991</v>
      </c>
      <c r="T405" s="115" t="e">
        <f>VLOOKUP(TRIM($F405),Reference!B:C,2,0)</f>
        <v>#VALUE!</v>
      </c>
      <c r="U405" s="170">
        <f t="shared" ca="1" si="1601"/>
        <v>0</v>
      </c>
      <c r="V405" s="120" t="str">
        <f t="shared" si="1524"/>
        <v>LT22JUL1640PE</v>
      </c>
      <c r="W405" s="158">
        <f>VLOOKUP($V405,Reference!BA:BD,4,0)</f>
        <v>39.200000000000003</v>
      </c>
      <c r="X405" s="160">
        <f t="shared" ca="1" si="1525"/>
        <v>0</v>
      </c>
      <c r="Y405" s="160">
        <f t="shared" ca="1" si="1526"/>
        <v>0</v>
      </c>
      <c r="Z405" s="160">
        <f t="shared" ca="1" si="1538"/>
        <v>0</v>
      </c>
      <c r="AA405" s="160">
        <f t="shared" ca="1" si="1527"/>
        <v>0</v>
      </c>
      <c r="AB405" s="160">
        <f t="shared" ca="1" si="1528"/>
        <v>0</v>
      </c>
      <c r="AC405" s="119">
        <f t="shared" ca="1" si="1529"/>
        <v>0</v>
      </c>
      <c r="AD405" s="115">
        <f t="shared" ca="1" si="1602"/>
        <v>-1.1342465753424658</v>
      </c>
      <c r="AE405" s="115">
        <f t="shared" si="1603"/>
        <v>20</v>
      </c>
      <c r="AF405" s="115"/>
      <c r="AG405" s="115"/>
      <c r="AH405" s="115">
        <f t="shared" si="755"/>
        <v>0</v>
      </c>
      <c r="AI405" s="115"/>
      <c r="AJ405" s="115">
        <f t="shared" si="756"/>
        <v>0.27</v>
      </c>
      <c r="AK405" s="115"/>
      <c r="AL405" s="142"/>
      <c r="AM405" s="153"/>
      <c r="AN405" s="153"/>
      <c r="AO405" s="153"/>
      <c r="AP405" s="153"/>
      <c r="AQ405" s="153"/>
      <c r="AR405" s="153"/>
      <c r="AS405" s="153"/>
      <c r="AT405" s="153"/>
      <c r="AU405" s="153"/>
      <c r="AV405" s="153"/>
      <c r="AW405" s="153"/>
      <c r="AX405" s="153"/>
      <c r="AY405" s="153"/>
      <c r="AZ405" s="153"/>
      <c r="BA405" s="153"/>
      <c r="BB405" s="153"/>
      <c r="BC405" s="153"/>
      <c r="BD405" s="153"/>
      <c r="BE405" s="153"/>
      <c r="BF405" s="153"/>
      <c r="BG405" s="153"/>
      <c r="BS405" s="13">
        <v>2</v>
      </c>
      <c r="BT405" s="123">
        <v>44491</v>
      </c>
      <c r="BU405" s="116" t="s">
        <v>8</v>
      </c>
      <c r="BV405" s="115" t="s">
        <v>482</v>
      </c>
      <c r="BW405" s="116" t="s">
        <v>502</v>
      </c>
      <c r="BX405" s="115">
        <v>18400</v>
      </c>
      <c r="BY405" s="115">
        <v>41.7</v>
      </c>
      <c r="BZ405" s="115">
        <v>47.945</v>
      </c>
      <c r="CA405" s="119">
        <v>-3216.6708800000001</v>
      </c>
      <c r="CB405" s="115">
        <v>1.1497601918465228</v>
      </c>
      <c r="CC405" s="115">
        <v>500</v>
      </c>
      <c r="CD405" s="115">
        <v>50</v>
      </c>
      <c r="CE405" s="119">
        <v>20850</v>
      </c>
    </row>
    <row r="406" spans="1:83" hidden="1">
      <c r="A406" s="13">
        <f t="shared" si="753"/>
        <v>399</v>
      </c>
      <c r="B406" s="123">
        <v>44750</v>
      </c>
      <c r="C406" s="116" t="s">
        <v>6</v>
      </c>
      <c r="D406" s="116">
        <v>1</v>
      </c>
      <c r="E406" s="115" t="s">
        <v>482</v>
      </c>
      <c r="F406" s="116" t="s">
        <v>399</v>
      </c>
      <c r="G406" s="115">
        <v>1640</v>
      </c>
      <c r="H406" s="117">
        <v>44770</v>
      </c>
      <c r="I406" s="115">
        <v>300</v>
      </c>
      <c r="J406" s="115">
        <v>30</v>
      </c>
      <c r="K406" s="115">
        <v>0</v>
      </c>
      <c r="L406" s="119">
        <f t="shared" ref="L406:L407" ca="1" si="1604">IF(AND(K406&lt;&gt;0,I406&lt;&gt;0),(IF(C406="B",1,-1))*(K406-J406)*I406-AK406*2,0)*$D406*IF(MONTH($B$2)=MONTH($H406),1,0)</f>
        <v>0</v>
      </c>
      <c r="M406" s="119">
        <f t="shared" ref="M406:M407" si="1605">IF(AND(K406&lt;&gt;0,I406&lt;&gt;0),(IF(C406="B",1,-1))*(K406-J406)*I406-AK406*2,0)*$D406</f>
        <v>0</v>
      </c>
      <c r="N406" s="115">
        <f t="shared" ref="N406:N407" si="1606">K406/$J406</f>
        <v>0</v>
      </c>
      <c r="O406" s="156">
        <f t="shared" ref="O406:O407" si="1607">J406*(1+$O$6*IF(C406="B",-1,1))</f>
        <v>22.5</v>
      </c>
      <c r="P406" s="160">
        <f>$J406*$I406*$D406</f>
        <v>9000</v>
      </c>
      <c r="Q406" s="160">
        <f t="shared" ref="Q406:Q407" si="1608">(W406-J406)*I406*IF(C406="B",1,-1)*IF(K406=0,1,0)</f>
        <v>2760.0000000000009</v>
      </c>
      <c r="R406" s="153" t="e">
        <f t="shared" ca="1" si="1535"/>
        <v>#VALUE!</v>
      </c>
      <c r="S406" s="119">
        <f t="shared" ref="S406:S407" si="1609">(1-$S$6)*J406</f>
        <v>2.9999999999999991</v>
      </c>
      <c r="T406" s="115" t="e">
        <f>VLOOKUP(TRIM($F406),Reference!B:C,2,0)</f>
        <v>#VALUE!</v>
      </c>
      <c r="U406" s="170">
        <f t="shared" ref="U406:U407" ca="1" si="1610">AC406</f>
        <v>0</v>
      </c>
      <c r="V406" s="120" t="str">
        <f t="shared" si="1524"/>
        <v>LT22JUL1640PE</v>
      </c>
      <c r="W406" s="158">
        <f>VLOOKUP($V406,Reference!BA:BD,4,0)</f>
        <v>39.200000000000003</v>
      </c>
      <c r="X406" s="160">
        <f t="shared" ca="1" si="1525"/>
        <v>0</v>
      </c>
      <c r="Y406" s="160">
        <f t="shared" ca="1" si="1526"/>
        <v>0</v>
      </c>
      <c r="Z406" s="160">
        <f t="shared" ca="1" si="1538"/>
        <v>0</v>
      </c>
      <c r="AA406" s="160">
        <f t="shared" ca="1" si="1527"/>
        <v>0</v>
      </c>
      <c r="AB406" s="160">
        <f t="shared" ca="1" si="1528"/>
        <v>0</v>
      </c>
      <c r="AC406" s="119">
        <f t="shared" ca="1" si="1529"/>
        <v>0</v>
      </c>
      <c r="AD406" s="115">
        <f t="shared" ref="AD406:AD407" ca="1" si="1611">(H406-TODAY())/365</f>
        <v>-1.1342465753424658</v>
      </c>
      <c r="AE406" s="115">
        <f t="shared" ref="AE406:AE407" si="1612">IF(I406&lt;&gt;0,20,0)</f>
        <v>20</v>
      </c>
      <c r="AF406" s="115"/>
      <c r="AG406" s="115"/>
      <c r="AH406" s="115">
        <f t="shared" si="755"/>
        <v>0</v>
      </c>
      <c r="AI406" s="115"/>
      <c r="AJ406" s="115">
        <f t="shared" si="756"/>
        <v>0.27</v>
      </c>
      <c r="AK406" s="115"/>
      <c r="AL406" s="142"/>
      <c r="AM406" s="153"/>
      <c r="AN406" s="153"/>
      <c r="AO406" s="153"/>
      <c r="AP406" s="153"/>
      <c r="AQ406" s="153"/>
      <c r="AR406" s="153"/>
      <c r="AS406" s="153"/>
      <c r="AT406" s="153"/>
      <c r="AU406" s="153"/>
      <c r="AV406" s="153"/>
      <c r="AW406" s="153"/>
      <c r="AX406" s="153"/>
      <c r="AY406" s="153"/>
      <c r="AZ406" s="153"/>
      <c r="BA406" s="153"/>
      <c r="BB406" s="153"/>
      <c r="BC406" s="153"/>
      <c r="BD406" s="153"/>
      <c r="BE406" s="153"/>
      <c r="BF406" s="153"/>
      <c r="BG406" s="153"/>
      <c r="BS406" s="13">
        <v>2</v>
      </c>
      <c r="BT406" s="123">
        <v>44491</v>
      </c>
      <c r="BU406" s="116" t="s">
        <v>8</v>
      </c>
      <c r="BV406" s="115" t="s">
        <v>482</v>
      </c>
      <c r="BW406" s="116" t="s">
        <v>502</v>
      </c>
      <c r="BX406" s="115">
        <v>18400</v>
      </c>
      <c r="BY406" s="115">
        <v>41.7</v>
      </c>
      <c r="BZ406" s="115">
        <v>47.945</v>
      </c>
      <c r="CA406" s="119">
        <v>-3216.6708800000001</v>
      </c>
      <c r="CB406" s="115">
        <v>1.1497601918465228</v>
      </c>
      <c r="CC406" s="115">
        <v>500</v>
      </c>
      <c r="CD406" s="115">
        <v>50</v>
      </c>
      <c r="CE406" s="119">
        <v>20850</v>
      </c>
    </row>
    <row r="407" spans="1:83" hidden="1">
      <c r="A407" s="13">
        <f t="shared" si="753"/>
        <v>400</v>
      </c>
      <c r="B407" s="123">
        <v>44750</v>
      </c>
      <c r="C407" s="116" t="s">
        <v>6</v>
      </c>
      <c r="D407" s="116">
        <v>1</v>
      </c>
      <c r="E407" s="115" t="s">
        <v>632</v>
      </c>
      <c r="F407" s="116" t="s">
        <v>506</v>
      </c>
      <c r="G407" s="115" t="s">
        <v>568</v>
      </c>
      <c r="H407" s="117">
        <v>44798</v>
      </c>
      <c r="I407" s="115">
        <v>25</v>
      </c>
      <c r="J407" s="115">
        <v>35190</v>
      </c>
      <c r="K407" s="115">
        <v>0</v>
      </c>
      <c r="L407" s="119">
        <f t="shared" ca="1" si="1604"/>
        <v>0</v>
      </c>
      <c r="M407" s="119">
        <f t="shared" si="1605"/>
        <v>0</v>
      </c>
      <c r="N407" s="115">
        <f t="shared" si="1606"/>
        <v>0</v>
      </c>
      <c r="O407" s="156">
        <f t="shared" si="1607"/>
        <v>26392.5</v>
      </c>
      <c r="P407" s="160">
        <f t="shared" si="754"/>
        <v>879750</v>
      </c>
      <c r="Q407" s="160">
        <f t="shared" si="1608"/>
        <v>-10750</v>
      </c>
      <c r="R407" s="153" t="e">
        <f t="shared" ca="1" si="1535"/>
        <v>#VALUE!</v>
      </c>
      <c r="S407" s="119">
        <f t="shared" si="1609"/>
        <v>3518.9999999999991</v>
      </c>
      <c r="T407" s="115" t="str">
        <f>VLOOKUP(TRIM($F407),Reference!B:C,2,0)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07" s="170">
        <f t="shared" ca="1" si="1610"/>
        <v>0</v>
      </c>
      <c r="V407" s="120" t="str">
        <f t="shared" si="1524"/>
        <v>BANKNIFTY22AUGFUT</v>
      </c>
      <c r="W407" s="158">
        <f>VLOOKUP($V407,Reference!BA:BD,4,0)</f>
        <v>34760</v>
      </c>
      <c r="X407" s="160">
        <f t="shared" ca="1" si="1525"/>
        <v>0</v>
      </c>
      <c r="Y407" s="160">
        <f t="shared" ca="1" si="1526"/>
        <v>0</v>
      </c>
      <c r="Z407" s="160">
        <f t="shared" ca="1" si="1538"/>
        <v>0</v>
      </c>
      <c r="AA407" s="160">
        <f t="shared" ca="1" si="1527"/>
        <v>0</v>
      </c>
      <c r="AB407" s="160">
        <f t="shared" ca="1" si="1528"/>
        <v>0</v>
      </c>
      <c r="AC407" s="119">
        <f t="shared" ca="1" si="1529"/>
        <v>0</v>
      </c>
      <c r="AD407" s="115">
        <f t="shared" ca="1" si="1611"/>
        <v>-1.0575342465753426</v>
      </c>
      <c r="AE407" s="115">
        <f t="shared" si="1612"/>
        <v>20</v>
      </c>
      <c r="AF407" s="115"/>
      <c r="AG407" s="115"/>
      <c r="AH407" s="115">
        <f t="shared" si="755"/>
        <v>0</v>
      </c>
      <c r="AI407" s="115"/>
      <c r="AJ407" s="115">
        <f t="shared" si="756"/>
        <v>26.392500000000002</v>
      </c>
      <c r="AK407" s="115"/>
      <c r="AL407" s="142"/>
      <c r="AM407" s="153"/>
      <c r="AN407" s="153"/>
      <c r="AO407" s="153"/>
      <c r="AP407" s="153"/>
      <c r="AQ407" s="153"/>
      <c r="AR407" s="153"/>
      <c r="AS407" s="153"/>
      <c r="AT407" s="153"/>
      <c r="AU407" s="153"/>
      <c r="AV407" s="153"/>
      <c r="AW407" s="153"/>
      <c r="AX407" s="153"/>
      <c r="AY407" s="153"/>
      <c r="AZ407" s="153"/>
      <c r="BA407" s="153"/>
      <c r="BB407" s="153"/>
      <c r="BC407" s="153"/>
      <c r="BD407" s="153"/>
      <c r="BE407" s="153"/>
      <c r="BF407" s="153"/>
      <c r="BG407" s="153"/>
      <c r="BS407" s="13">
        <v>2</v>
      </c>
      <c r="BT407" s="123">
        <v>44491</v>
      </c>
      <c r="BU407" s="116" t="s">
        <v>8</v>
      </c>
      <c r="BV407" s="115" t="s">
        <v>482</v>
      </c>
      <c r="BW407" s="116" t="s">
        <v>502</v>
      </c>
      <c r="BX407" s="115">
        <v>18400</v>
      </c>
      <c r="BY407" s="115">
        <v>41.7</v>
      </c>
      <c r="BZ407" s="115">
        <v>47.945</v>
      </c>
      <c r="CA407" s="119">
        <v>-3216.6708800000001</v>
      </c>
      <c r="CB407" s="115">
        <v>1.1497601918465228</v>
      </c>
      <c r="CC407" s="115">
        <v>500</v>
      </c>
      <c r="CD407" s="115">
        <v>50</v>
      </c>
      <c r="CE407" s="119">
        <v>20850</v>
      </c>
    </row>
    <row r="408" spans="1:83" hidden="1">
      <c r="A408" s="13">
        <f t="shared" si="753"/>
        <v>401</v>
      </c>
      <c r="B408" s="123">
        <v>44750</v>
      </c>
      <c r="C408" s="116" t="s">
        <v>6</v>
      </c>
      <c r="D408" s="116">
        <v>1</v>
      </c>
      <c r="E408" s="115" t="s">
        <v>632</v>
      </c>
      <c r="F408" s="116" t="s">
        <v>506</v>
      </c>
      <c r="G408" s="115" t="s">
        <v>568</v>
      </c>
      <c r="H408" s="117">
        <v>44798</v>
      </c>
      <c r="I408" s="115">
        <v>25</v>
      </c>
      <c r="J408" s="115">
        <v>35201.599999999999</v>
      </c>
      <c r="K408" s="115">
        <v>0</v>
      </c>
      <c r="L408" s="119">
        <f t="shared" ref="L408" ca="1" si="1613">IF(AND(K408&lt;&gt;0,I408&lt;&gt;0),(IF(C408="B",1,-1))*(K408-J408)*I408-AK408*2,0)*$D408*IF(MONTH($B$2)=MONTH($H408),1,0)</f>
        <v>0</v>
      </c>
      <c r="M408" s="119">
        <f t="shared" ref="M408" si="1614">IF(AND(K408&lt;&gt;0,I408&lt;&gt;0),(IF(C408="B",1,-1))*(K408-J408)*I408-AK408*2,0)*$D408</f>
        <v>0</v>
      </c>
      <c r="N408" s="115">
        <f t="shared" ref="N408" si="1615">K408/$J408</f>
        <v>0</v>
      </c>
      <c r="O408" s="156">
        <f t="shared" ref="O408" si="1616">J408*(1+$O$6*IF(C408="B",-1,1))</f>
        <v>26401.199999999997</v>
      </c>
      <c r="P408" s="160">
        <f t="shared" si="754"/>
        <v>880040</v>
      </c>
      <c r="Q408" s="160">
        <f t="shared" ref="Q408" si="1617">(W408-J408)*I408*IF(C408="B",1,-1)*IF(K408=0,1,0)</f>
        <v>-11039.999999999964</v>
      </c>
      <c r="R408" s="153" t="e">
        <f t="shared" ca="1" si="1535"/>
        <v>#VALUE!</v>
      </c>
      <c r="S408" s="119">
        <f t="shared" ref="S408" si="1618">(1-$S$6)*J408</f>
        <v>3520.1599999999989</v>
      </c>
      <c r="T408" s="115" t="str">
        <f>VLOOKUP(TRIM($F408),Reference!B:C,2,0)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08" s="170">
        <f t="shared" ref="U408" ca="1" si="1619">AC408</f>
        <v>0</v>
      </c>
      <c r="V408" s="120" t="str">
        <f t="shared" si="1524"/>
        <v>BANKNIFTY22AUGFUT</v>
      </c>
      <c r="W408" s="158">
        <f>VLOOKUP($V408,Reference!BA:BD,4,0)</f>
        <v>34760</v>
      </c>
      <c r="X408" s="160">
        <f t="shared" ca="1" si="1525"/>
        <v>0</v>
      </c>
      <c r="Y408" s="160">
        <f t="shared" ca="1" si="1526"/>
        <v>0</v>
      </c>
      <c r="Z408" s="160">
        <f t="shared" ca="1" si="1538"/>
        <v>0</v>
      </c>
      <c r="AA408" s="160">
        <f t="shared" ca="1" si="1527"/>
        <v>0</v>
      </c>
      <c r="AB408" s="160">
        <f t="shared" ca="1" si="1528"/>
        <v>0</v>
      </c>
      <c r="AC408" s="119">
        <f t="shared" ca="1" si="1529"/>
        <v>0</v>
      </c>
      <c r="AD408" s="115">
        <f t="shared" ref="AD408" ca="1" si="1620">(H408-TODAY())/365</f>
        <v>-1.0575342465753426</v>
      </c>
      <c r="AE408" s="115">
        <f t="shared" ref="AE408" si="1621">IF(I408&lt;&gt;0,20,0)</f>
        <v>20</v>
      </c>
      <c r="AF408" s="115"/>
      <c r="AG408" s="115"/>
      <c r="AH408" s="115">
        <f t="shared" si="755"/>
        <v>0</v>
      </c>
      <c r="AI408" s="115"/>
      <c r="AJ408" s="115">
        <f t="shared" si="756"/>
        <v>26.401199999999999</v>
      </c>
      <c r="AK408" s="115"/>
      <c r="AL408" s="142"/>
      <c r="AM408" s="153"/>
      <c r="AN408" s="153"/>
      <c r="AO408" s="153"/>
      <c r="AP408" s="153"/>
      <c r="AQ408" s="153"/>
      <c r="AR408" s="153"/>
      <c r="AS408" s="153"/>
      <c r="AT408" s="153"/>
      <c r="AU408" s="153"/>
      <c r="AV408" s="153"/>
      <c r="AW408" s="153"/>
      <c r="AX408" s="153"/>
      <c r="AY408" s="153"/>
      <c r="AZ408" s="153"/>
      <c r="BA408" s="153"/>
      <c r="BB408" s="153"/>
      <c r="BC408" s="153"/>
      <c r="BD408" s="153"/>
      <c r="BE408" s="153"/>
      <c r="BF408" s="153"/>
      <c r="BG408" s="153"/>
      <c r="BS408" s="13">
        <v>2</v>
      </c>
      <c r="BT408" s="123">
        <v>44491</v>
      </c>
      <c r="BU408" s="116" t="s">
        <v>8</v>
      </c>
      <c r="BV408" s="115" t="s">
        <v>482</v>
      </c>
      <c r="BW408" s="116" t="s">
        <v>502</v>
      </c>
      <c r="BX408" s="115">
        <v>18400</v>
      </c>
      <c r="BY408" s="115">
        <v>41.7</v>
      </c>
      <c r="BZ408" s="115">
        <v>47.945</v>
      </c>
      <c r="CA408" s="119">
        <v>-3216.6708800000001</v>
      </c>
      <c r="CB408" s="115">
        <v>1.1497601918465228</v>
      </c>
      <c r="CC408" s="115">
        <v>500</v>
      </c>
      <c r="CD408" s="115">
        <v>50</v>
      </c>
      <c r="CE408" s="119">
        <v>20850</v>
      </c>
    </row>
    <row r="409" spans="1:83" hidden="1">
      <c r="A409" s="13">
        <f t="shared" si="753"/>
        <v>402</v>
      </c>
      <c r="B409" s="123">
        <v>44750</v>
      </c>
      <c r="C409" s="116" t="s">
        <v>6</v>
      </c>
      <c r="D409" s="116">
        <v>1</v>
      </c>
      <c r="E409" s="115" t="s">
        <v>632</v>
      </c>
      <c r="F409" s="116" t="s">
        <v>506</v>
      </c>
      <c r="G409" s="115" t="s">
        <v>568</v>
      </c>
      <c r="H409" s="117">
        <v>44798</v>
      </c>
      <c r="I409" s="115">
        <v>25</v>
      </c>
      <c r="J409" s="115">
        <v>35201.599999999999</v>
      </c>
      <c r="K409" s="115">
        <v>0</v>
      </c>
      <c r="L409" s="119">
        <f t="shared" ref="L409:L411" ca="1" si="1622">IF(AND(K409&lt;&gt;0,I409&lt;&gt;0),(IF(C409="B",1,-1))*(K409-J409)*I409-AK409*2,0)*$D409*IF(MONTH($B$2)=MONTH($H409),1,0)</f>
        <v>0</v>
      </c>
      <c r="M409" s="119">
        <f t="shared" ref="M409:M411" si="1623">IF(AND(K409&lt;&gt;0,I409&lt;&gt;0),(IF(C409="B",1,-1))*(K409-J409)*I409-AK409*2,0)*$D409</f>
        <v>0</v>
      </c>
      <c r="N409" s="115">
        <f t="shared" ref="N409:N411" si="1624">K409/$J409</f>
        <v>0</v>
      </c>
      <c r="O409" s="156">
        <f t="shared" ref="O409:O411" si="1625">J409*(1+$O$6*IF(C409="B",-1,1))</f>
        <v>26401.199999999997</v>
      </c>
      <c r="P409" s="160">
        <f t="shared" si="754"/>
        <v>880040</v>
      </c>
      <c r="Q409" s="160">
        <f t="shared" ref="Q409:Q411" si="1626">(W409-J409)*I409*IF(C409="B",1,-1)*IF(K409=0,1,0)</f>
        <v>-11039.999999999964</v>
      </c>
      <c r="R409" s="153" t="e">
        <f t="shared" ca="1" si="1535"/>
        <v>#VALUE!</v>
      </c>
      <c r="S409" s="119">
        <f t="shared" ref="S409:S411" si="1627">(1-$S$6)*J409</f>
        <v>3520.1599999999989</v>
      </c>
      <c r="T409" s="115" t="str">
        <f>VLOOKUP(TRIM($F409),Reference!B:C,2,0)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09" s="170">
        <f t="shared" ref="U409:U411" ca="1" si="1628">AC409</f>
        <v>0</v>
      </c>
      <c r="V409" s="120" t="str">
        <f t="shared" si="1524"/>
        <v>BANKNIFTY22AUGFUT</v>
      </c>
      <c r="W409" s="158">
        <f>VLOOKUP($V409,Reference!BA:BD,4,0)</f>
        <v>34760</v>
      </c>
      <c r="X409" s="160">
        <f t="shared" ca="1" si="1525"/>
        <v>0</v>
      </c>
      <c r="Y409" s="160">
        <f t="shared" ca="1" si="1526"/>
        <v>0</v>
      </c>
      <c r="Z409" s="160">
        <f t="shared" ca="1" si="1538"/>
        <v>0</v>
      </c>
      <c r="AA409" s="160">
        <f t="shared" ca="1" si="1527"/>
        <v>0</v>
      </c>
      <c r="AB409" s="160">
        <f t="shared" ca="1" si="1528"/>
        <v>0</v>
      </c>
      <c r="AC409" s="119">
        <f t="shared" ca="1" si="1529"/>
        <v>0</v>
      </c>
      <c r="AD409" s="115">
        <f t="shared" ref="AD409:AD411" ca="1" si="1629">(H409-TODAY())/365</f>
        <v>-1.0575342465753426</v>
      </c>
      <c r="AE409" s="115">
        <f t="shared" ref="AE409:AE411" si="1630">IF(I409&lt;&gt;0,20,0)</f>
        <v>20</v>
      </c>
      <c r="AF409" s="115"/>
      <c r="AG409" s="115"/>
      <c r="AH409" s="115">
        <f t="shared" si="755"/>
        <v>0</v>
      </c>
      <c r="AI409" s="115"/>
      <c r="AJ409" s="115">
        <f t="shared" si="756"/>
        <v>26.401199999999999</v>
      </c>
      <c r="AK409" s="115"/>
      <c r="AL409" s="142"/>
      <c r="AM409" s="153"/>
      <c r="AN409" s="153"/>
      <c r="AO409" s="153"/>
      <c r="AP409" s="153"/>
      <c r="AQ409" s="153"/>
      <c r="AR409" s="153"/>
      <c r="AS409" s="153"/>
      <c r="AT409" s="153"/>
      <c r="AU409" s="153"/>
      <c r="AV409" s="153"/>
      <c r="AW409" s="153"/>
      <c r="AX409" s="153"/>
      <c r="AY409" s="153"/>
      <c r="AZ409" s="153"/>
      <c r="BA409" s="153"/>
      <c r="BB409" s="153"/>
      <c r="BC409" s="153"/>
      <c r="BD409" s="153"/>
      <c r="BE409" s="153"/>
      <c r="BF409" s="153"/>
      <c r="BG409" s="153"/>
      <c r="BS409" s="13">
        <v>2</v>
      </c>
      <c r="BT409" s="123">
        <v>44491</v>
      </c>
      <c r="BU409" s="116" t="s">
        <v>8</v>
      </c>
      <c r="BV409" s="115" t="s">
        <v>482</v>
      </c>
      <c r="BW409" s="116" t="s">
        <v>502</v>
      </c>
      <c r="BX409" s="115">
        <v>18400</v>
      </c>
      <c r="BY409" s="115">
        <v>41.7</v>
      </c>
      <c r="BZ409" s="115">
        <v>47.945</v>
      </c>
      <c r="CA409" s="119">
        <v>-3216.6708800000001</v>
      </c>
      <c r="CB409" s="115">
        <v>1.1497601918465228</v>
      </c>
      <c r="CC409" s="115">
        <v>500</v>
      </c>
      <c r="CD409" s="115">
        <v>50</v>
      </c>
      <c r="CE409" s="119">
        <v>20850</v>
      </c>
    </row>
    <row r="410" spans="1:83">
      <c r="A410" s="13">
        <f t="shared" si="753"/>
        <v>403</v>
      </c>
      <c r="B410" s="123">
        <v>44750</v>
      </c>
      <c r="C410" s="116" t="s">
        <v>8</v>
      </c>
      <c r="D410" s="116">
        <v>1</v>
      </c>
      <c r="E410" s="115" t="s">
        <v>481</v>
      </c>
      <c r="F410" s="116" t="s">
        <v>104</v>
      </c>
      <c r="G410" s="115">
        <v>2500</v>
      </c>
      <c r="H410" s="117">
        <v>44770</v>
      </c>
      <c r="I410" s="115">
        <v>300</v>
      </c>
      <c r="J410" s="115">
        <v>57.6</v>
      </c>
      <c r="K410" s="115">
        <v>47</v>
      </c>
      <c r="L410" s="119">
        <f t="shared" ca="1" si="1622"/>
        <v>0</v>
      </c>
      <c r="M410" s="119">
        <f t="shared" si="1623"/>
        <v>3180.0000000000005</v>
      </c>
      <c r="N410" s="115">
        <f t="shared" si="1624"/>
        <v>0.81597222222222221</v>
      </c>
      <c r="O410" s="156">
        <f t="shared" si="1625"/>
        <v>72</v>
      </c>
      <c r="P410" s="160">
        <f t="shared" si="754"/>
        <v>17280</v>
      </c>
      <c r="Q410" s="160" t="e">
        <f t="shared" si="1626"/>
        <v>#N/A</v>
      </c>
      <c r="R410" s="153" t="e">
        <f t="shared" ca="1" si="1535"/>
        <v>#VALUE!</v>
      </c>
      <c r="S410" s="119">
        <f t="shared" si="1627"/>
        <v>5.7599999999999989</v>
      </c>
      <c r="T410" s="115" t="e">
        <f>VLOOKUP(TRIM($F410),Reference!B:C,2,0)</f>
        <v>#VALUE!</v>
      </c>
      <c r="U410" s="170">
        <f t="shared" ca="1" si="1628"/>
        <v>0</v>
      </c>
      <c r="V410" s="120" t="str">
        <f t="shared" si="1524"/>
        <v>HINDUNILVR22JUL2500CE</v>
      </c>
      <c r="W410" s="158" t="e">
        <f>VLOOKUP($V410,Reference!BA:BD,4,0)</f>
        <v>#N/A</v>
      </c>
      <c r="X410" s="160">
        <f t="shared" ca="1" si="1525"/>
        <v>0</v>
      </c>
      <c r="Y410" s="160">
        <f t="shared" ca="1" si="1526"/>
        <v>0</v>
      </c>
      <c r="Z410" s="160">
        <f t="shared" ca="1" si="1538"/>
        <v>0</v>
      </c>
      <c r="AA410" s="160">
        <f t="shared" ca="1" si="1527"/>
        <v>0</v>
      </c>
      <c r="AB410" s="160">
        <f t="shared" ca="1" si="1528"/>
        <v>0</v>
      </c>
      <c r="AC410" s="119">
        <f t="shared" ca="1" si="1529"/>
        <v>0</v>
      </c>
      <c r="AD410" s="115">
        <f t="shared" ca="1" si="1629"/>
        <v>-1.1342465753424658</v>
      </c>
      <c r="AE410" s="115">
        <f t="shared" si="1630"/>
        <v>20</v>
      </c>
      <c r="AF410" s="115"/>
      <c r="AG410" s="115"/>
      <c r="AH410" s="115">
        <f t="shared" si="755"/>
        <v>8.64</v>
      </c>
      <c r="AI410" s="115"/>
      <c r="AJ410" s="115">
        <f t="shared" si="756"/>
        <v>0</v>
      </c>
      <c r="AK410" s="115"/>
      <c r="AL410" s="142"/>
      <c r="AM410" s="153"/>
      <c r="AN410" s="153"/>
      <c r="AO410" s="153"/>
      <c r="AP410" s="153"/>
      <c r="AQ410" s="153"/>
      <c r="AR410" s="153"/>
      <c r="AS410" s="153"/>
      <c r="AT410" s="153"/>
      <c r="AU410" s="153"/>
      <c r="AV410" s="153"/>
      <c r="AW410" s="153"/>
      <c r="AX410" s="153"/>
      <c r="AY410" s="153"/>
      <c r="AZ410" s="153"/>
      <c r="BA410" s="153"/>
      <c r="BB410" s="153"/>
      <c r="BC410" s="153"/>
      <c r="BD410" s="153"/>
      <c r="BE410" s="153"/>
      <c r="BF410" s="153"/>
      <c r="BG410" s="153"/>
      <c r="BS410" s="13">
        <v>2</v>
      </c>
      <c r="BT410" s="123">
        <v>44491</v>
      </c>
      <c r="BU410" s="116" t="s">
        <v>8</v>
      </c>
      <c r="BV410" s="115" t="s">
        <v>482</v>
      </c>
      <c r="BW410" s="116" t="s">
        <v>502</v>
      </c>
      <c r="BX410" s="115">
        <v>18400</v>
      </c>
      <c r="BY410" s="115">
        <v>41.7</v>
      </c>
      <c r="BZ410" s="115">
        <v>47.945</v>
      </c>
      <c r="CA410" s="119">
        <v>-3216.6708800000001</v>
      </c>
      <c r="CB410" s="115">
        <v>1.1497601918465228</v>
      </c>
      <c r="CC410" s="115">
        <v>500</v>
      </c>
      <c r="CD410" s="115">
        <v>50</v>
      </c>
      <c r="CE410" s="119">
        <v>20850</v>
      </c>
    </row>
    <row r="411" spans="1:83" hidden="1">
      <c r="A411" s="13">
        <f t="shared" si="753"/>
        <v>404</v>
      </c>
      <c r="B411" s="123">
        <v>44750</v>
      </c>
      <c r="C411" s="116" t="s">
        <v>6</v>
      </c>
      <c r="D411" s="116">
        <v>1</v>
      </c>
      <c r="E411" s="115" t="s">
        <v>482</v>
      </c>
      <c r="F411" s="116" t="s">
        <v>502</v>
      </c>
      <c r="G411" s="115">
        <v>16000</v>
      </c>
      <c r="H411" s="117">
        <v>44770</v>
      </c>
      <c r="I411" s="115">
        <v>50</v>
      </c>
      <c r="J411" s="115">
        <v>198</v>
      </c>
      <c r="K411" s="115">
        <v>0</v>
      </c>
      <c r="L411" s="119">
        <f t="shared" ca="1" si="1622"/>
        <v>0</v>
      </c>
      <c r="M411" s="119">
        <f t="shared" si="1623"/>
        <v>0</v>
      </c>
      <c r="N411" s="115">
        <f t="shared" si="1624"/>
        <v>0</v>
      </c>
      <c r="O411" s="156">
        <f t="shared" si="1625"/>
        <v>148.5</v>
      </c>
      <c r="P411" s="160">
        <f t="shared" si="754"/>
        <v>9900</v>
      </c>
      <c r="Q411" s="160">
        <f t="shared" si="1626"/>
        <v>2300</v>
      </c>
      <c r="R411" s="153" t="e">
        <f t="shared" ca="1" si="1535"/>
        <v>#VALUE!</v>
      </c>
      <c r="S411" s="119">
        <f t="shared" si="1627"/>
        <v>19.799999999999997</v>
      </c>
      <c r="T411" s="115" t="str">
        <f>VLOOKUP(TRIM($F411),Reference!B:C,2,0)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11" s="170">
        <f t="shared" ca="1" si="1628"/>
        <v>0</v>
      </c>
      <c r="V411" s="120" t="str">
        <f t="shared" si="1524"/>
        <v>NIFTY22JUL16000PE</v>
      </c>
      <c r="W411" s="158">
        <f>VLOOKUP($V411,Reference!BA:BD,4,0)</f>
        <v>244</v>
      </c>
      <c r="X411" s="160">
        <f t="shared" ca="1" si="1525"/>
        <v>0</v>
      </c>
      <c r="Y411" s="160">
        <f t="shared" ca="1" si="1526"/>
        <v>0</v>
      </c>
      <c r="Z411" s="160">
        <f t="shared" ca="1" si="1538"/>
        <v>0</v>
      </c>
      <c r="AA411" s="160">
        <f t="shared" ca="1" si="1527"/>
        <v>0</v>
      </c>
      <c r="AB411" s="160">
        <f t="shared" ca="1" si="1528"/>
        <v>0</v>
      </c>
      <c r="AC411" s="119">
        <f t="shared" ca="1" si="1529"/>
        <v>0</v>
      </c>
      <c r="AD411" s="115">
        <f t="shared" ca="1" si="1629"/>
        <v>-1.1342465753424658</v>
      </c>
      <c r="AE411" s="115">
        <f t="shared" si="1630"/>
        <v>20</v>
      </c>
      <c r="AF411" s="115"/>
      <c r="AG411" s="115"/>
      <c r="AH411" s="115">
        <f t="shared" si="755"/>
        <v>0</v>
      </c>
      <c r="AI411" s="115"/>
      <c r="AJ411" s="115">
        <f t="shared" si="756"/>
        <v>0.29699999999999999</v>
      </c>
      <c r="AK411" s="115"/>
      <c r="AL411" s="142"/>
      <c r="AM411" s="153"/>
      <c r="AN411" s="153"/>
      <c r="AO411" s="153"/>
      <c r="AP411" s="153"/>
      <c r="AQ411" s="153"/>
      <c r="AR411" s="153"/>
      <c r="AS411" s="153"/>
      <c r="AT411" s="153"/>
      <c r="AU411" s="153"/>
      <c r="AV411" s="153"/>
      <c r="AW411" s="153"/>
      <c r="AX411" s="153"/>
      <c r="AY411" s="153"/>
      <c r="AZ411" s="153"/>
      <c r="BA411" s="153"/>
      <c r="BB411" s="153"/>
      <c r="BC411" s="153"/>
      <c r="BD411" s="153"/>
      <c r="BE411" s="153"/>
      <c r="BF411" s="153"/>
      <c r="BG411" s="153"/>
      <c r="BS411" s="13">
        <v>2</v>
      </c>
      <c r="BT411" s="123">
        <v>44491</v>
      </c>
      <c r="BU411" s="116" t="s">
        <v>8</v>
      </c>
      <c r="BV411" s="115" t="s">
        <v>482</v>
      </c>
      <c r="BW411" s="116" t="s">
        <v>502</v>
      </c>
      <c r="BX411" s="115">
        <v>18400</v>
      </c>
      <c r="BY411" s="115">
        <v>41.7</v>
      </c>
      <c r="BZ411" s="115">
        <v>47.945</v>
      </c>
      <c r="CA411" s="119">
        <v>-3216.6708800000001</v>
      </c>
      <c r="CB411" s="115">
        <v>1.1497601918465228</v>
      </c>
      <c r="CC411" s="115">
        <v>500</v>
      </c>
      <c r="CD411" s="115">
        <v>50</v>
      </c>
      <c r="CE411" s="119">
        <v>20850</v>
      </c>
    </row>
    <row r="412" spans="1:83" hidden="1">
      <c r="A412" s="13">
        <f t="shared" si="753"/>
        <v>405</v>
      </c>
      <c r="B412" s="123">
        <v>44750</v>
      </c>
      <c r="C412" s="116" t="s">
        <v>6</v>
      </c>
      <c r="D412" s="116">
        <v>1</v>
      </c>
      <c r="E412" s="115" t="s">
        <v>632</v>
      </c>
      <c r="F412" s="116" t="s">
        <v>284</v>
      </c>
      <c r="G412" s="115" t="s">
        <v>568</v>
      </c>
      <c r="H412" s="117">
        <v>44798</v>
      </c>
      <c r="I412" s="115">
        <v>1425</v>
      </c>
      <c r="J412" s="115">
        <v>438.65</v>
      </c>
      <c r="K412" s="115">
        <v>442.35</v>
      </c>
      <c r="L412" s="119">
        <f t="shared" ref="L412" ca="1" si="1631">IF(AND(K412&lt;&gt;0,I412&lt;&gt;0),(IF(C412="B",1,-1))*(K412-J412)*I412-AK412*2,0)*$D412*IF(MONTH($B$2)=MONTH($H412),1,0)</f>
        <v>0</v>
      </c>
      <c r="M412" s="119">
        <f t="shared" ref="M412" si="1632">IF(AND(K412&lt;&gt;0,I412&lt;&gt;0),(IF(C412="B",1,-1))*(K412-J412)*I412-AK412*2,0)*$D412</f>
        <v>5272.5000000000646</v>
      </c>
      <c r="N412" s="115">
        <f t="shared" ref="N412" si="1633">K412/$J412</f>
        <v>1.0084349709335463</v>
      </c>
      <c r="O412" s="156">
        <f t="shared" ref="O412" si="1634">J412*(1+$O$6*IF(C412="B",-1,1))</f>
        <v>328.98749999999995</v>
      </c>
      <c r="P412" s="160">
        <f t="shared" si="754"/>
        <v>625076.25</v>
      </c>
      <c r="Q412" s="160">
        <f t="shared" ref="Q412" si="1635">(W412-J412)*I412*IF(C412="B",1,-1)*IF(K412=0,1,0)</f>
        <v>0</v>
      </c>
      <c r="R412" s="153" t="e">
        <f t="shared" ca="1" si="1535"/>
        <v>#VALUE!</v>
      </c>
      <c r="S412" s="119">
        <f t="shared" ref="S412" si="1636">(1-$S$6)*J412</f>
        <v>43.864999999999988</v>
      </c>
      <c r="T412" s="115" t="e">
        <f>VLOOKUP(TRIM($F412),Reference!B:C,2,0)</f>
        <v>#VALUE!</v>
      </c>
      <c r="U412" s="170">
        <f t="shared" ref="U412" ca="1" si="1637">AC412</f>
        <v>0</v>
      </c>
      <c r="V412" s="120" t="str">
        <f t="shared" si="1524"/>
        <v>TATAMOTORS22AUGFUT</v>
      </c>
      <c r="W412" s="158">
        <f>VLOOKUP($V412,Reference!BA:BD,4,0)</f>
        <v>430.1</v>
      </c>
      <c r="X412" s="160">
        <f t="shared" ca="1" si="1525"/>
        <v>0</v>
      </c>
      <c r="Y412" s="160">
        <f t="shared" ca="1" si="1526"/>
        <v>0</v>
      </c>
      <c r="Z412" s="160">
        <f t="shared" ca="1" si="1538"/>
        <v>0</v>
      </c>
      <c r="AA412" s="160">
        <f t="shared" ca="1" si="1527"/>
        <v>0</v>
      </c>
      <c r="AB412" s="160">
        <f t="shared" ca="1" si="1528"/>
        <v>0</v>
      </c>
      <c r="AC412" s="119">
        <f t="shared" ca="1" si="1529"/>
        <v>0</v>
      </c>
      <c r="AD412" s="115">
        <f t="shared" ref="AD412" ca="1" si="1638">(H412-TODAY())/365</f>
        <v>-1.0575342465753426</v>
      </c>
      <c r="AE412" s="115">
        <f t="shared" ref="AE412" si="1639">IF(I412&lt;&gt;0,20,0)</f>
        <v>20</v>
      </c>
      <c r="AF412" s="115"/>
      <c r="AG412" s="115"/>
      <c r="AH412" s="115">
        <f t="shared" si="755"/>
        <v>0</v>
      </c>
      <c r="AI412" s="115"/>
      <c r="AJ412" s="115">
        <f t="shared" si="756"/>
        <v>18.752287500000001</v>
      </c>
      <c r="AK412" s="115"/>
      <c r="AL412" s="142"/>
      <c r="AM412" s="153"/>
      <c r="AN412" s="153"/>
      <c r="AO412" s="153"/>
      <c r="AP412" s="153"/>
      <c r="AQ412" s="153"/>
      <c r="AR412" s="153"/>
      <c r="AS412" s="153"/>
      <c r="AT412" s="153"/>
      <c r="AU412" s="153"/>
      <c r="AV412" s="153"/>
      <c r="AW412" s="153"/>
      <c r="AX412" s="153"/>
      <c r="AY412" s="153"/>
      <c r="AZ412" s="153"/>
      <c r="BA412" s="153"/>
      <c r="BB412" s="153"/>
      <c r="BC412" s="153"/>
      <c r="BD412" s="153"/>
      <c r="BE412" s="153"/>
      <c r="BF412" s="153"/>
      <c r="BG412" s="153"/>
      <c r="BS412" s="13">
        <v>2</v>
      </c>
      <c r="BT412" s="123">
        <v>44491</v>
      </c>
      <c r="BU412" s="116" t="s">
        <v>8</v>
      </c>
      <c r="BV412" s="115" t="s">
        <v>482</v>
      </c>
      <c r="BW412" s="116" t="s">
        <v>502</v>
      </c>
      <c r="BX412" s="115">
        <v>18400</v>
      </c>
      <c r="BY412" s="115">
        <v>41.7</v>
      </c>
      <c r="BZ412" s="115">
        <v>47.945</v>
      </c>
      <c r="CA412" s="119">
        <v>-3216.6708800000001</v>
      </c>
      <c r="CB412" s="115">
        <v>1.1497601918465228</v>
      </c>
      <c r="CC412" s="115">
        <v>500</v>
      </c>
      <c r="CD412" s="115">
        <v>50</v>
      </c>
      <c r="CE412" s="119">
        <v>20850</v>
      </c>
    </row>
    <row r="413" spans="1:83" hidden="1">
      <c r="A413" s="13">
        <f t="shared" si="753"/>
        <v>406</v>
      </c>
      <c r="B413" s="123">
        <v>44750</v>
      </c>
      <c r="C413" s="116" t="s">
        <v>6</v>
      </c>
      <c r="D413" s="116">
        <v>1</v>
      </c>
      <c r="E413" s="115" t="s">
        <v>632</v>
      </c>
      <c r="F413" s="116" t="s">
        <v>284</v>
      </c>
      <c r="G413" s="115" t="s">
        <v>568</v>
      </c>
      <c r="H413" s="117">
        <v>44798</v>
      </c>
      <c r="I413" s="115">
        <v>1425</v>
      </c>
      <c r="J413" s="115">
        <v>439</v>
      </c>
      <c r="K413" s="115">
        <v>0</v>
      </c>
      <c r="L413" s="119">
        <f t="shared" ref="L413:L415" ca="1" si="1640">IF(AND(K413&lt;&gt;0,I413&lt;&gt;0),(IF(C413="B",1,-1))*(K413-J413)*I413-AK413*2,0)*$D413*IF(MONTH($B$2)=MONTH($H413),1,0)</f>
        <v>0</v>
      </c>
      <c r="M413" s="119">
        <f t="shared" ref="M413:M415" si="1641">IF(AND(K413&lt;&gt;0,I413&lt;&gt;0),(IF(C413="B",1,-1))*(K413-J413)*I413-AK413*2,0)*$D413</f>
        <v>0</v>
      </c>
      <c r="N413" s="115">
        <f t="shared" ref="N413:N415" si="1642">K413/$J413</f>
        <v>0</v>
      </c>
      <c r="O413" s="156">
        <f t="shared" ref="O413:O415" si="1643">J413*(1+$O$6*IF(C413="B",-1,1))</f>
        <v>329.25</v>
      </c>
      <c r="P413" s="160">
        <f t="shared" si="754"/>
        <v>625575</v>
      </c>
      <c r="Q413" s="160">
        <f t="shared" ref="Q413:Q415" si="1644">(W413-J413)*I413*IF(C413="B",1,-1)*IF(K413=0,1,0)</f>
        <v>-12682.499999999967</v>
      </c>
      <c r="R413" s="153" t="e">
        <f t="shared" ca="1" si="1535"/>
        <v>#VALUE!</v>
      </c>
      <c r="S413" s="119">
        <f t="shared" ref="S413:S415" si="1645">(1-$S$6)*J413</f>
        <v>43.899999999999991</v>
      </c>
      <c r="T413" s="115" t="e">
        <f>VLOOKUP(TRIM($F413),Reference!B:C,2,0)</f>
        <v>#VALUE!</v>
      </c>
      <c r="U413" s="170">
        <f t="shared" ref="U413:U415" ca="1" si="1646">AC413</f>
        <v>0</v>
      </c>
      <c r="V413" s="120" t="str">
        <f t="shared" si="1524"/>
        <v>TATAMOTORS22AUGFUT</v>
      </c>
      <c r="W413" s="158">
        <f>VLOOKUP($V413,Reference!BA:BD,4,0)</f>
        <v>430.1</v>
      </c>
      <c r="X413" s="160">
        <f t="shared" ca="1" si="1525"/>
        <v>0</v>
      </c>
      <c r="Y413" s="160">
        <f t="shared" ca="1" si="1526"/>
        <v>0</v>
      </c>
      <c r="Z413" s="160">
        <f t="shared" ca="1" si="1538"/>
        <v>0</v>
      </c>
      <c r="AA413" s="160">
        <f t="shared" ca="1" si="1527"/>
        <v>0</v>
      </c>
      <c r="AB413" s="160">
        <f t="shared" ca="1" si="1528"/>
        <v>0</v>
      </c>
      <c r="AC413" s="119">
        <f t="shared" ca="1" si="1529"/>
        <v>0</v>
      </c>
      <c r="AD413" s="115">
        <f t="shared" ref="AD413:AD415" ca="1" si="1647">(H413-TODAY())/365</f>
        <v>-1.0575342465753426</v>
      </c>
      <c r="AE413" s="115">
        <f t="shared" ref="AE413:AE415" si="1648">IF(I413&lt;&gt;0,20,0)</f>
        <v>20</v>
      </c>
      <c r="AF413" s="115"/>
      <c r="AG413" s="115"/>
      <c r="AH413" s="115">
        <f t="shared" si="755"/>
        <v>0</v>
      </c>
      <c r="AI413" s="115"/>
      <c r="AJ413" s="115">
        <f t="shared" si="756"/>
        <v>18.767250000000001</v>
      </c>
      <c r="AK413" s="115"/>
      <c r="AL413" s="142"/>
      <c r="AM413" s="153"/>
      <c r="AN413" s="153"/>
      <c r="AO413" s="153"/>
      <c r="AP413" s="153"/>
      <c r="AQ413" s="153"/>
      <c r="AR413" s="153"/>
      <c r="AS413" s="153"/>
      <c r="AT413" s="153"/>
      <c r="AU413" s="153"/>
      <c r="AV413" s="153"/>
      <c r="AW413" s="153"/>
      <c r="AX413" s="153"/>
      <c r="AY413" s="153"/>
      <c r="AZ413" s="153"/>
      <c r="BA413" s="153"/>
      <c r="BB413" s="153"/>
      <c r="BC413" s="153"/>
      <c r="BD413" s="153"/>
      <c r="BE413" s="153"/>
      <c r="BF413" s="153"/>
      <c r="BG413" s="153"/>
      <c r="BS413" s="13">
        <v>2</v>
      </c>
      <c r="BT413" s="123">
        <v>44491</v>
      </c>
      <c r="BU413" s="116" t="s">
        <v>8</v>
      </c>
      <c r="BV413" s="115" t="s">
        <v>482</v>
      </c>
      <c r="BW413" s="116" t="s">
        <v>502</v>
      </c>
      <c r="BX413" s="115">
        <v>18400</v>
      </c>
      <c r="BY413" s="115">
        <v>41.7</v>
      </c>
      <c r="BZ413" s="115">
        <v>47.945</v>
      </c>
      <c r="CA413" s="119">
        <v>-3216.6708800000001</v>
      </c>
      <c r="CB413" s="115">
        <v>1.1497601918465228</v>
      </c>
      <c r="CC413" s="115">
        <v>500</v>
      </c>
      <c r="CD413" s="115">
        <v>50</v>
      </c>
      <c r="CE413" s="119">
        <v>20850</v>
      </c>
    </row>
    <row r="414" spans="1:83" hidden="1">
      <c r="A414" s="13">
        <f t="shared" si="753"/>
        <v>407</v>
      </c>
      <c r="B414" s="123">
        <v>44750</v>
      </c>
      <c r="C414" s="116" t="s">
        <v>6</v>
      </c>
      <c r="D414" s="116">
        <v>1</v>
      </c>
      <c r="E414" s="115" t="s">
        <v>632</v>
      </c>
      <c r="F414" s="116" t="s">
        <v>284</v>
      </c>
      <c r="G414" s="115" t="s">
        <v>568</v>
      </c>
      <c r="H414" s="117">
        <v>44798</v>
      </c>
      <c r="I414" s="115">
        <v>1425</v>
      </c>
      <c r="J414" s="115">
        <v>444.15</v>
      </c>
      <c r="K414" s="115">
        <v>0</v>
      </c>
      <c r="L414" s="119">
        <f t="shared" ca="1" si="1640"/>
        <v>0</v>
      </c>
      <c r="M414" s="119">
        <f t="shared" si="1641"/>
        <v>0</v>
      </c>
      <c r="N414" s="115">
        <f t="shared" si="1642"/>
        <v>0</v>
      </c>
      <c r="O414" s="156">
        <f t="shared" si="1643"/>
        <v>333.11249999999995</v>
      </c>
      <c r="P414" s="160">
        <f t="shared" si="754"/>
        <v>632913.75</v>
      </c>
      <c r="Q414" s="160">
        <f t="shared" si="1644"/>
        <v>-20021.249999999935</v>
      </c>
      <c r="R414" s="153" t="e">
        <f t="shared" ca="1" si="1535"/>
        <v>#VALUE!</v>
      </c>
      <c r="S414" s="119">
        <f t="shared" si="1645"/>
        <v>44.414999999999985</v>
      </c>
      <c r="T414" s="115" t="e">
        <f>VLOOKUP(TRIM($F414),Reference!B:C,2,0)</f>
        <v>#VALUE!</v>
      </c>
      <c r="U414" s="170">
        <f t="shared" ca="1" si="1646"/>
        <v>0</v>
      </c>
      <c r="V414" s="120" t="str">
        <f t="shared" si="1524"/>
        <v>TATAMOTORS22AUGFUT</v>
      </c>
      <c r="W414" s="158">
        <f>VLOOKUP($V414,Reference!BA:BD,4,0)</f>
        <v>430.1</v>
      </c>
      <c r="X414" s="160">
        <f t="shared" ca="1" si="1525"/>
        <v>0</v>
      </c>
      <c r="Y414" s="160">
        <f t="shared" ca="1" si="1526"/>
        <v>0</v>
      </c>
      <c r="Z414" s="160">
        <f t="shared" ca="1" si="1538"/>
        <v>0</v>
      </c>
      <c r="AA414" s="160">
        <f t="shared" ca="1" si="1527"/>
        <v>0</v>
      </c>
      <c r="AB414" s="160">
        <f t="shared" ca="1" si="1528"/>
        <v>0</v>
      </c>
      <c r="AC414" s="119">
        <f t="shared" ca="1" si="1529"/>
        <v>0</v>
      </c>
      <c r="AD414" s="115">
        <f t="shared" ca="1" si="1647"/>
        <v>-1.0575342465753426</v>
      </c>
      <c r="AE414" s="115">
        <f t="shared" si="1648"/>
        <v>20</v>
      </c>
      <c r="AF414" s="115"/>
      <c r="AG414" s="115"/>
      <c r="AH414" s="115">
        <f t="shared" si="755"/>
        <v>0</v>
      </c>
      <c r="AI414" s="115"/>
      <c r="AJ414" s="115">
        <f t="shared" si="756"/>
        <v>18.987412500000001</v>
      </c>
      <c r="AK414" s="115"/>
      <c r="AL414" s="142"/>
      <c r="AM414" s="153"/>
      <c r="AN414" s="153"/>
      <c r="AO414" s="153"/>
      <c r="AP414" s="153"/>
      <c r="AQ414" s="153"/>
      <c r="AR414" s="153"/>
      <c r="AS414" s="153"/>
      <c r="AT414" s="153"/>
      <c r="AU414" s="153"/>
      <c r="AV414" s="153"/>
      <c r="AW414" s="153"/>
      <c r="AX414" s="153"/>
      <c r="AY414" s="153"/>
      <c r="AZ414" s="153"/>
      <c r="BA414" s="153"/>
      <c r="BB414" s="153"/>
      <c r="BC414" s="153"/>
      <c r="BD414" s="153"/>
      <c r="BE414" s="153"/>
      <c r="BF414" s="153"/>
      <c r="BG414" s="153"/>
      <c r="BS414" s="13">
        <v>2</v>
      </c>
      <c r="BT414" s="123">
        <v>44491</v>
      </c>
      <c r="BU414" s="116" t="s">
        <v>8</v>
      </c>
      <c r="BV414" s="115" t="s">
        <v>482</v>
      </c>
      <c r="BW414" s="116" t="s">
        <v>502</v>
      </c>
      <c r="BX414" s="115">
        <v>18400</v>
      </c>
      <c r="BY414" s="115">
        <v>41.7</v>
      </c>
      <c r="BZ414" s="115">
        <v>47.945</v>
      </c>
      <c r="CA414" s="119">
        <v>-3216.6708800000001</v>
      </c>
      <c r="CB414" s="115">
        <v>1.1497601918465228</v>
      </c>
      <c r="CC414" s="115">
        <v>500</v>
      </c>
      <c r="CD414" s="115">
        <v>50</v>
      </c>
      <c r="CE414" s="119">
        <v>20850</v>
      </c>
    </row>
    <row r="415" spans="1:83" hidden="1">
      <c r="A415" s="13">
        <f t="shared" si="753"/>
        <v>408</v>
      </c>
      <c r="B415" s="123">
        <v>44750</v>
      </c>
      <c r="C415" s="116" t="s">
        <v>6</v>
      </c>
      <c r="D415" s="116">
        <v>1</v>
      </c>
      <c r="E415" s="115" t="s">
        <v>482</v>
      </c>
      <c r="F415" s="116" t="s">
        <v>284</v>
      </c>
      <c r="G415" s="115">
        <v>430</v>
      </c>
      <c r="H415" s="117">
        <v>44770</v>
      </c>
      <c r="I415" s="115">
        <v>1425</v>
      </c>
      <c r="J415" s="115">
        <v>9.4</v>
      </c>
      <c r="K415" s="115">
        <v>6.85</v>
      </c>
      <c r="L415" s="119">
        <f t="shared" ca="1" si="1640"/>
        <v>0</v>
      </c>
      <c r="M415" s="119">
        <f t="shared" si="1641"/>
        <v>-3633.7500000000009</v>
      </c>
      <c r="N415" s="115">
        <f t="shared" si="1642"/>
        <v>0.72872340425531912</v>
      </c>
      <c r="O415" s="156">
        <f t="shared" si="1643"/>
        <v>7.0500000000000007</v>
      </c>
      <c r="P415" s="160">
        <f t="shared" si="754"/>
        <v>13395</v>
      </c>
      <c r="Q415" s="160">
        <f t="shared" si="1644"/>
        <v>0</v>
      </c>
      <c r="R415" s="153" t="e">
        <f t="shared" ca="1" si="1535"/>
        <v>#VALUE!</v>
      </c>
      <c r="S415" s="119">
        <f t="shared" si="1645"/>
        <v>0.93999999999999984</v>
      </c>
      <c r="T415" s="115" t="e">
        <f>VLOOKUP(TRIM($F415),Reference!B:C,2,0)</f>
        <v>#VALUE!</v>
      </c>
      <c r="U415" s="170">
        <f t="shared" ca="1" si="1646"/>
        <v>0</v>
      </c>
      <c r="V415" s="120" t="str">
        <f t="shared" si="1524"/>
        <v>TATAMOTORS22JUL430PE</v>
      </c>
      <c r="W415" s="158">
        <f>VLOOKUP($V415,Reference!BA:BD,4,0)</f>
        <v>12.4</v>
      </c>
      <c r="X415" s="160">
        <f t="shared" ca="1" si="1525"/>
        <v>0</v>
      </c>
      <c r="Y415" s="160">
        <f t="shared" ca="1" si="1526"/>
        <v>0</v>
      </c>
      <c r="Z415" s="160">
        <f t="shared" ca="1" si="1538"/>
        <v>0</v>
      </c>
      <c r="AA415" s="160">
        <f t="shared" ca="1" si="1527"/>
        <v>0</v>
      </c>
      <c r="AB415" s="160">
        <f t="shared" ca="1" si="1528"/>
        <v>0</v>
      </c>
      <c r="AC415" s="119">
        <f t="shared" ca="1" si="1529"/>
        <v>0</v>
      </c>
      <c r="AD415" s="115">
        <f t="shared" ca="1" si="1647"/>
        <v>-1.1342465753424658</v>
      </c>
      <c r="AE415" s="115">
        <f t="shared" si="1648"/>
        <v>20</v>
      </c>
      <c r="AF415" s="115"/>
      <c r="AG415" s="115"/>
      <c r="AH415" s="115">
        <f t="shared" si="755"/>
        <v>0</v>
      </c>
      <c r="AI415" s="115"/>
      <c r="AJ415" s="115">
        <f t="shared" si="756"/>
        <v>0.40184999999999998</v>
      </c>
      <c r="AK415" s="115"/>
      <c r="AL415" s="142"/>
      <c r="AM415" s="153"/>
      <c r="AN415" s="153"/>
      <c r="AO415" s="153"/>
      <c r="AP415" s="153"/>
      <c r="AQ415" s="153"/>
      <c r="AR415" s="153"/>
      <c r="AS415" s="153"/>
      <c r="AT415" s="153"/>
      <c r="AU415" s="153"/>
      <c r="AV415" s="153"/>
      <c r="AW415" s="153"/>
      <c r="AX415" s="153"/>
      <c r="AY415" s="153"/>
      <c r="AZ415" s="153"/>
      <c r="BA415" s="153"/>
      <c r="BB415" s="153"/>
      <c r="BC415" s="153"/>
      <c r="BD415" s="153"/>
      <c r="BE415" s="153"/>
      <c r="BF415" s="153"/>
      <c r="BG415" s="153"/>
      <c r="BS415" s="13">
        <v>2</v>
      </c>
      <c r="BT415" s="123">
        <v>44491</v>
      </c>
      <c r="BU415" s="116" t="s">
        <v>8</v>
      </c>
      <c r="BV415" s="115" t="s">
        <v>482</v>
      </c>
      <c r="BW415" s="116" t="s">
        <v>502</v>
      </c>
      <c r="BX415" s="115">
        <v>18400</v>
      </c>
      <c r="BY415" s="115">
        <v>41.7</v>
      </c>
      <c r="BZ415" s="115">
        <v>47.945</v>
      </c>
      <c r="CA415" s="119">
        <v>-3216.6708800000001</v>
      </c>
      <c r="CB415" s="115">
        <v>1.1497601918465228</v>
      </c>
      <c r="CC415" s="115">
        <v>500</v>
      </c>
      <c r="CD415" s="115">
        <v>50</v>
      </c>
      <c r="CE415" s="119">
        <v>20850</v>
      </c>
    </row>
    <row r="416" spans="1:83" hidden="1">
      <c r="A416" s="13">
        <f t="shared" si="753"/>
        <v>409</v>
      </c>
      <c r="B416" s="123">
        <v>44750</v>
      </c>
      <c r="C416" s="116" t="s">
        <v>6</v>
      </c>
      <c r="D416" s="116">
        <v>1</v>
      </c>
      <c r="E416" s="115" t="s">
        <v>482</v>
      </c>
      <c r="F416" s="116" t="s">
        <v>284</v>
      </c>
      <c r="G416" s="115">
        <v>430</v>
      </c>
      <c r="H416" s="117">
        <v>44770</v>
      </c>
      <c r="I416" s="115">
        <v>1425</v>
      </c>
      <c r="J416" s="115">
        <v>11</v>
      </c>
      <c r="K416" s="115">
        <v>0</v>
      </c>
      <c r="L416" s="119">
        <f t="shared" ref="L416:L417" ca="1" si="1649">IF(AND(K416&lt;&gt;0,I416&lt;&gt;0),(IF(C416="B",1,-1))*(K416-J416)*I416-AK416*2,0)*$D416*IF(MONTH($B$2)=MONTH($H416),1,0)</f>
        <v>0</v>
      </c>
      <c r="M416" s="119">
        <f t="shared" ref="M416:M417" si="1650">IF(AND(K416&lt;&gt;0,I416&lt;&gt;0),(IF(C416="B",1,-1))*(K416-J416)*I416-AK416*2,0)*$D416</f>
        <v>0</v>
      </c>
      <c r="N416" s="115">
        <f t="shared" ref="N416:N417" si="1651">K416/$J416</f>
        <v>0</v>
      </c>
      <c r="O416" s="156">
        <f t="shared" ref="O416:O417" si="1652">J416*(1+$O$6*IF(C416="B",-1,1))</f>
        <v>8.25</v>
      </c>
      <c r="P416" s="160">
        <f t="shared" si="754"/>
        <v>15675</v>
      </c>
      <c r="Q416" s="160">
        <f t="shared" ref="Q416:Q417" si="1653">(W416-J416)*I416*IF(C416="B",1,-1)*IF(K416=0,1,0)</f>
        <v>1995.0000000000005</v>
      </c>
      <c r="R416" s="153" t="e">
        <f t="shared" ca="1" si="1535"/>
        <v>#VALUE!</v>
      </c>
      <c r="S416" s="119">
        <f t="shared" ref="S416:S417" si="1654">(1-$S$6)*J416</f>
        <v>1.0999999999999996</v>
      </c>
      <c r="T416" s="115" t="e">
        <f>VLOOKUP(TRIM($F416),Reference!B:C,2,0)</f>
        <v>#VALUE!</v>
      </c>
      <c r="U416" s="170">
        <f t="shared" ref="U416:U417" ca="1" si="1655">AC416</f>
        <v>0</v>
      </c>
      <c r="V416" s="120" t="str">
        <f t="shared" si="1524"/>
        <v>TATAMOTORS22JUL430PE</v>
      </c>
      <c r="W416" s="158">
        <f>VLOOKUP($V416,Reference!BA:BD,4,0)</f>
        <v>12.4</v>
      </c>
      <c r="X416" s="160">
        <f t="shared" ca="1" si="1525"/>
        <v>0</v>
      </c>
      <c r="Y416" s="160">
        <f t="shared" ca="1" si="1526"/>
        <v>0</v>
      </c>
      <c r="Z416" s="160">
        <f t="shared" ca="1" si="1538"/>
        <v>0</v>
      </c>
      <c r="AA416" s="160">
        <f t="shared" ca="1" si="1527"/>
        <v>0</v>
      </c>
      <c r="AB416" s="160">
        <f t="shared" ca="1" si="1528"/>
        <v>0</v>
      </c>
      <c r="AC416" s="119">
        <f t="shared" ca="1" si="1529"/>
        <v>0</v>
      </c>
      <c r="AD416" s="115">
        <f t="shared" ref="AD416:AD417" ca="1" si="1656">(H416-TODAY())/365</f>
        <v>-1.1342465753424658</v>
      </c>
      <c r="AE416" s="115">
        <f t="shared" ref="AE416:AE417" si="1657">IF(I416&lt;&gt;0,20,0)</f>
        <v>20</v>
      </c>
      <c r="AF416" s="115"/>
      <c r="AG416" s="115"/>
      <c r="AH416" s="115">
        <f t="shared" si="755"/>
        <v>0</v>
      </c>
      <c r="AI416" s="115"/>
      <c r="AJ416" s="115">
        <f t="shared" si="756"/>
        <v>0.47025</v>
      </c>
      <c r="AK416" s="115"/>
      <c r="AL416" s="142"/>
      <c r="AM416" s="153"/>
      <c r="AN416" s="153"/>
      <c r="AO416" s="153"/>
      <c r="AP416" s="153"/>
      <c r="AQ416" s="153"/>
      <c r="AR416" s="153"/>
      <c r="AS416" s="153"/>
      <c r="AT416" s="153"/>
      <c r="AU416" s="153"/>
      <c r="AV416" s="153"/>
      <c r="AW416" s="153"/>
      <c r="AX416" s="153"/>
      <c r="AY416" s="153"/>
      <c r="AZ416" s="153"/>
      <c r="BA416" s="153"/>
      <c r="BB416" s="153"/>
      <c r="BC416" s="153"/>
      <c r="BD416" s="153"/>
      <c r="BE416" s="153"/>
      <c r="BF416" s="153"/>
      <c r="BG416" s="153"/>
      <c r="BS416" s="13">
        <v>2</v>
      </c>
      <c r="BT416" s="123">
        <v>44491</v>
      </c>
      <c r="BU416" s="116" t="s">
        <v>8</v>
      </c>
      <c r="BV416" s="115" t="s">
        <v>482</v>
      </c>
      <c r="BW416" s="116" t="s">
        <v>502</v>
      </c>
      <c r="BX416" s="115">
        <v>18400</v>
      </c>
      <c r="BY416" s="115">
        <v>41.7</v>
      </c>
      <c r="BZ416" s="115">
        <v>47.945</v>
      </c>
      <c r="CA416" s="119">
        <v>-3216.6708800000001</v>
      </c>
      <c r="CB416" s="115">
        <v>1.1497601918465228</v>
      </c>
      <c r="CC416" s="115">
        <v>500</v>
      </c>
      <c r="CD416" s="115">
        <v>50</v>
      </c>
      <c r="CE416" s="119">
        <v>20850</v>
      </c>
    </row>
    <row r="417" spans="1:83" hidden="1">
      <c r="A417" s="13">
        <f t="shared" si="753"/>
        <v>410</v>
      </c>
      <c r="B417" s="123">
        <v>44750</v>
      </c>
      <c r="C417" s="116" t="s">
        <v>6</v>
      </c>
      <c r="D417" s="116">
        <v>1</v>
      </c>
      <c r="E417" s="115" t="s">
        <v>482</v>
      </c>
      <c r="F417" s="116" t="s">
        <v>284</v>
      </c>
      <c r="G417" s="115">
        <v>430</v>
      </c>
      <c r="H417" s="117">
        <v>44770</v>
      </c>
      <c r="I417" s="115">
        <v>1425</v>
      </c>
      <c r="J417" s="115">
        <v>11.3</v>
      </c>
      <c r="K417" s="115">
        <v>0</v>
      </c>
      <c r="L417" s="119">
        <f t="shared" ca="1" si="1649"/>
        <v>0</v>
      </c>
      <c r="M417" s="119">
        <f t="shared" si="1650"/>
        <v>0</v>
      </c>
      <c r="N417" s="115">
        <f t="shared" si="1651"/>
        <v>0</v>
      </c>
      <c r="O417" s="156">
        <f t="shared" si="1652"/>
        <v>8.4750000000000014</v>
      </c>
      <c r="P417" s="160">
        <f t="shared" si="754"/>
        <v>16102.500000000002</v>
      </c>
      <c r="Q417" s="160">
        <f t="shared" si="1653"/>
        <v>1567.4999999999995</v>
      </c>
      <c r="R417" s="153" t="e">
        <f t="shared" ca="1" si="1535"/>
        <v>#VALUE!</v>
      </c>
      <c r="S417" s="119">
        <f t="shared" si="1654"/>
        <v>1.1299999999999999</v>
      </c>
      <c r="T417" s="115" t="e">
        <f>VLOOKUP(TRIM($F417),Reference!B:C,2,0)</f>
        <v>#VALUE!</v>
      </c>
      <c r="U417" s="170">
        <f t="shared" ca="1" si="1655"/>
        <v>0</v>
      </c>
      <c r="V417" s="120" t="str">
        <f t="shared" si="1524"/>
        <v>TATAMOTORS22JUL430PE</v>
      </c>
      <c r="W417" s="158">
        <f>VLOOKUP($V417,Reference!BA:BD,4,0)</f>
        <v>12.4</v>
      </c>
      <c r="X417" s="160">
        <f t="shared" ca="1" si="1525"/>
        <v>0</v>
      </c>
      <c r="Y417" s="160">
        <f t="shared" ca="1" si="1526"/>
        <v>0</v>
      </c>
      <c r="Z417" s="160">
        <f t="shared" ca="1" si="1538"/>
        <v>0</v>
      </c>
      <c r="AA417" s="160">
        <f t="shared" ca="1" si="1527"/>
        <v>0</v>
      </c>
      <c r="AB417" s="160">
        <f t="shared" ca="1" si="1528"/>
        <v>0</v>
      </c>
      <c r="AC417" s="119">
        <f t="shared" ca="1" si="1529"/>
        <v>0</v>
      </c>
      <c r="AD417" s="115">
        <f t="shared" ca="1" si="1656"/>
        <v>-1.1342465753424658</v>
      </c>
      <c r="AE417" s="115">
        <f t="shared" si="1657"/>
        <v>20</v>
      </c>
      <c r="AF417" s="115"/>
      <c r="AG417" s="115"/>
      <c r="AH417" s="115">
        <f t="shared" si="755"/>
        <v>0</v>
      </c>
      <c r="AI417" s="115"/>
      <c r="AJ417" s="115">
        <f t="shared" si="756"/>
        <v>0.48307500000000009</v>
      </c>
      <c r="AK417" s="115"/>
      <c r="AL417" s="142"/>
      <c r="AM417" s="153"/>
      <c r="AN417" s="153"/>
      <c r="AO417" s="153"/>
      <c r="AP417" s="153"/>
      <c r="AQ417" s="153"/>
      <c r="AR417" s="153"/>
      <c r="AS417" s="153"/>
      <c r="AT417" s="153"/>
      <c r="AU417" s="153"/>
      <c r="AV417" s="153"/>
      <c r="AW417" s="153"/>
      <c r="AX417" s="153"/>
      <c r="AY417" s="153"/>
      <c r="AZ417" s="153"/>
      <c r="BA417" s="153"/>
      <c r="BB417" s="153"/>
      <c r="BC417" s="153"/>
      <c r="BD417" s="153"/>
      <c r="BE417" s="153"/>
      <c r="BF417" s="153"/>
      <c r="BG417" s="153"/>
      <c r="BS417" s="13">
        <v>2</v>
      </c>
      <c r="BT417" s="123">
        <v>44491</v>
      </c>
      <c r="BU417" s="116" t="s">
        <v>8</v>
      </c>
      <c r="BV417" s="115" t="s">
        <v>482</v>
      </c>
      <c r="BW417" s="116" t="s">
        <v>502</v>
      </c>
      <c r="BX417" s="115">
        <v>18400</v>
      </c>
      <c r="BY417" s="115">
        <v>41.7</v>
      </c>
      <c r="BZ417" s="115">
        <v>47.945</v>
      </c>
      <c r="CA417" s="119">
        <v>-3216.6708800000001</v>
      </c>
      <c r="CB417" s="115">
        <v>1.1497601918465228</v>
      </c>
      <c r="CC417" s="115">
        <v>500</v>
      </c>
      <c r="CD417" s="115">
        <v>50</v>
      </c>
      <c r="CE417" s="119">
        <v>20850</v>
      </c>
    </row>
    <row r="418" spans="1:83" hidden="1">
      <c r="A418" s="13">
        <f t="shared" si="753"/>
        <v>411</v>
      </c>
      <c r="B418" s="123">
        <v>44749</v>
      </c>
      <c r="C418" s="116" t="s">
        <v>8</v>
      </c>
      <c r="D418" s="116">
        <v>1</v>
      </c>
      <c r="E418" s="115" t="s">
        <v>481</v>
      </c>
      <c r="F418" s="116" t="s">
        <v>284</v>
      </c>
      <c r="G418" s="115">
        <v>460</v>
      </c>
      <c r="H418" s="117">
        <v>44770</v>
      </c>
      <c r="I418" s="115">
        <v>1425</v>
      </c>
      <c r="J418" s="115">
        <v>6.35</v>
      </c>
      <c r="K418" s="115">
        <v>0</v>
      </c>
      <c r="L418" s="119">
        <f t="shared" ref="L418" ca="1" si="1658">IF(AND(K418&lt;&gt;0,I418&lt;&gt;0),(IF(C418="B",1,-1))*(K418-J418)*I418-AK418*2,0)*$D418*IF(MONTH($B$2)=MONTH($H418),1,0)</f>
        <v>0</v>
      </c>
      <c r="M418" s="119">
        <f t="shared" ref="M418" si="1659">IF(AND(K418&lt;&gt;0,I418&lt;&gt;0),(IF(C418="B",1,-1))*(K418-J418)*I418-AK418*2,0)*$D418</f>
        <v>0</v>
      </c>
      <c r="N418" s="115">
        <f t="shared" ref="N418" si="1660">K418/$J418</f>
        <v>0</v>
      </c>
      <c r="O418" s="156">
        <f t="shared" ref="O418" si="1661">J418*(1+$O$6*IF(C418="B",-1,1))</f>
        <v>7.9375</v>
      </c>
      <c r="P418" s="160">
        <f t="shared" si="754"/>
        <v>9048.75</v>
      </c>
      <c r="Q418" s="160">
        <f t="shared" ref="Q418" si="1662">(W418-J418)*I418*IF(C418="B",1,-1)*IF(K418=0,1,0)</f>
        <v>4702.5</v>
      </c>
      <c r="R418" s="153" t="e">
        <f t="shared" ca="1" si="1535"/>
        <v>#VALUE!</v>
      </c>
      <c r="S418" s="119">
        <f t="shared" ref="S418" si="1663">(1-$S$6)*J418</f>
        <v>0.63499999999999979</v>
      </c>
      <c r="T418" s="115" t="e">
        <f>VLOOKUP(TRIM($F418),Reference!B:C,2,0)</f>
        <v>#VALUE!</v>
      </c>
      <c r="U418" s="170">
        <f t="shared" ref="U418" ca="1" si="1664">AC418</f>
        <v>0</v>
      </c>
      <c r="V418" s="120" t="str">
        <f t="shared" si="1524"/>
        <v>TATAMOTORS22JUL460CE</v>
      </c>
      <c r="W418" s="158">
        <f>VLOOKUP($V418,Reference!BA:BD,4,0)</f>
        <v>3.05</v>
      </c>
      <c r="X418" s="160">
        <f t="shared" ca="1" si="1525"/>
        <v>0</v>
      </c>
      <c r="Y418" s="160">
        <f t="shared" ca="1" si="1526"/>
        <v>0</v>
      </c>
      <c r="Z418" s="160">
        <f t="shared" ca="1" si="1538"/>
        <v>0</v>
      </c>
      <c r="AA418" s="160">
        <f t="shared" ca="1" si="1527"/>
        <v>0</v>
      </c>
      <c r="AB418" s="160">
        <f t="shared" ca="1" si="1528"/>
        <v>0</v>
      </c>
      <c r="AC418" s="119">
        <f t="shared" ca="1" si="1529"/>
        <v>0</v>
      </c>
      <c r="AD418" s="115">
        <f t="shared" ref="AD418" ca="1" si="1665">(H418-TODAY())/365</f>
        <v>-1.1342465753424658</v>
      </c>
      <c r="AE418" s="115">
        <f t="shared" ref="AE418" si="1666">IF(I418&lt;&gt;0,20,0)</f>
        <v>20</v>
      </c>
      <c r="AF418" s="115"/>
      <c r="AG418" s="115"/>
      <c r="AH418" s="115">
        <f t="shared" si="755"/>
        <v>4.524375</v>
      </c>
      <c r="AI418" s="115"/>
      <c r="AJ418" s="115">
        <f t="shared" si="756"/>
        <v>0</v>
      </c>
      <c r="AK418" s="115"/>
      <c r="AL418" s="142"/>
      <c r="AM418" s="153"/>
      <c r="AN418" s="153"/>
      <c r="AO418" s="153"/>
      <c r="AP418" s="153"/>
      <c r="AQ418" s="153"/>
      <c r="AR418" s="153"/>
      <c r="AS418" s="153"/>
      <c r="AT418" s="153"/>
      <c r="AU418" s="153"/>
      <c r="AV418" s="153"/>
      <c r="AW418" s="153"/>
      <c r="AX418" s="153"/>
      <c r="AY418" s="153"/>
      <c r="AZ418" s="153"/>
      <c r="BA418" s="153"/>
      <c r="BB418" s="153"/>
      <c r="BC418" s="153"/>
      <c r="BD418" s="153"/>
      <c r="BE418" s="153"/>
      <c r="BF418" s="153"/>
      <c r="BG418" s="153"/>
      <c r="BS418" s="13">
        <v>2</v>
      </c>
      <c r="BT418" s="123">
        <v>44491</v>
      </c>
      <c r="BU418" s="116" t="s">
        <v>8</v>
      </c>
      <c r="BV418" s="115" t="s">
        <v>482</v>
      </c>
      <c r="BW418" s="116" t="s">
        <v>502</v>
      </c>
      <c r="BX418" s="115">
        <v>18400</v>
      </c>
      <c r="BY418" s="115">
        <v>41.7</v>
      </c>
      <c r="BZ418" s="115">
        <v>47.945</v>
      </c>
      <c r="CA418" s="119">
        <v>-3216.6708800000001</v>
      </c>
      <c r="CB418" s="115">
        <v>1.1497601918465228</v>
      </c>
      <c r="CC418" s="115">
        <v>500</v>
      </c>
      <c r="CD418" s="115">
        <v>50</v>
      </c>
      <c r="CE418" s="119">
        <v>20850</v>
      </c>
    </row>
    <row r="419" spans="1:83" hidden="1">
      <c r="A419" s="13">
        <f t="shared" si="753"/>
        <v>412</v>
      </c>
      <c r="B419" s="123">
        <v>44749</v>
      </c>
      <c r="C419" s="116" t="s">
        <v>6</v>
      </c>
      <c r="D419" s="116">
        <v>1</v>
      </c>
      <c r="E419" s="115" t="s">
        <v>482</v>
      </c>
      <c r="F419" s="116" t="s">
        <v>506</v>
      </c>
      <c r="G419" s="115">
        <v>34000</v>
      </c>
      <c r="H419" s="117">
        <v>44770</v>
      </c>
      <c r="I419" s="115">
        <v>25</v>
      </c>
      <c r="J419" s="115">
        <v>382.75</v>
      </c>
      <c r="K419" s="115">
        <v>0</v>
      </c>
      <c r="L419" s="119">
        <f t="shared" ref="L419" ca="1" si="1667">IF(AND(K419&lt;&gt;0,I419&lt;&gt;0),(IF(C419="B",1,-1))*(K419-J419)*I419-AK419*2,0)*$D419*IF(MONTH($B$2)=MONTH($H419),1,0)</f>
        <v>0</v>
      </c>
      <c r="M419" s="119">
        <f t="shared" ref="M419" si="1668">IF(AND(K419&lt;&gt;0,I419&lt;&gt;0),(IF(C419="B",1,-1))*(K419-J419)*I419-AK419*2,0)*$D419</f>
        <v>0</v>
      </c>
      <c r="N419" s="115">
        <f t="shared" ref="N419" si="1669">K419/$J419</f>
        <v>0</v>
      </c>
      <c r="O419" s="156">
        <f t="shared" ref="O419" si="1670">J419*(1+$O$6*IF(C419="B",-1,1))</f>
        <v>287.0625</v>
      </c>
      <c r="P419" s="160">
        <f t="shared" si="754"/>
        <v>9568.75</v>
      </c>
      <c r="Q419" s="160">
        <f t="shared" ref="Q419" si="1671">(W419-J419)*I419*IF(C419="B",1,-1)*IF(K419=0,1,0)</f>
        <v>-2668.75</v>
      </c>
      <c r="R419" s="153" t="e">
        <f t="shared" ca="1" si="1535"/>
        <v>#VALUE!</v>
      </c>
      <c r="S419" s="119">
        <f t="shared" ref="S419" si="1672">(1-$S$6)*J419</f>
        <v>38.274999999999991</v>
      </c>
      <c r="T419" s="115" t="str">
        <f>VLOOKUP(TRIM($F419),Reference!B:C,2,0)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19" s="170">
        <f t="shared" ref="U419" ca="1" si="1673">AC419</f>
        <v>0</v>
      </c>
      <c r="V419" s="120" t="str">
        <f t="shared" si="1524"/>
        <v>BANKNIFTY22JUL34000PE</v>
      </c>
      <c r="W419" s="158">
        <f>VLOOKUP($V419,Reference!BA:BD,4,0)</f>
        <v>276</v>
      </c>
      <c r="X419" s="160">
        <f t="shared" ca="1" si="1525"/>
        <v>0</v>
      </c>
      <c r="Y419" s="160">
        <f t="shared" ca="1" si="1526"/>
        <v>0</v>
      </c>
      <c r="Z419" s="160">
        <f t="shared" ca="1" si="1538"/>
        <v>0</v>
      </c>
      <c r="AA419" s="160">
        <f t="shared" ca="1" si="1527"/>
        <v>0</v>
      </c>
      <c r="AB419" s="160">
        <f t="shared" ca="1" si="1528"/>
        <v>0</v>
      </c>
      <c r="AC419" s="119">
        <f t="shared" ca="1" si="1529"/>
        <v>0</v>
      </c>
      <c r="AD419" s="115">
        <f t="shared" ref="AD419" ca="1" si="1674">(H419-TODAY())/365</f>
        <v>-1.1342465753424658</v>
      </c>
      <c r="AE419" s="115">
        <f t="shared" ref="AE419" si="1675">IF(I419&lt;&gt;0,20,0)</f>
        <v>20</v>
      </c>
      <c r="AF419" s="115"/>
      <c r="AG419" s="115"/>
      <c r="AH419" s="115">
        <f t="shared" si="755"/>
        <v>0</v>
      </c>
      <c r="AI419" s="115"/>
      <c r="AJ419" s="115">
        <f t="shared" si="756"/>
        <v>0.2870625</v>
      </c>
      <c r="AK419" s="115"/>
      <c r="AL419" s="142"/>
      <c r="AM419" s="153"/>
      <c r="AN419" s="153"/>
      <c r="AO419" s="153"/>
      <c r="AP419" s="153"/>
      <c r="AQ419" s="153"/>
      <c r="AR419" s="153"/>
      <c r="AS419" s="153"/>
      <c r="AT419" s="153"/>
      <c r="AU419" s="153"/>
      <c r="AV419" s="153"/>
      <c r="AW419" s="153"/>
      <c r="AX419" s="153"/>
      <c r="AY419" s="153"/>
      <c r="AZ419" s="153"/>
      <c r="BA419" s="153"/>
      <c r="BB419" s="153"/>
      <c r="BC419" s="153"/>
      <c r="BD419" s="153"/>
      <c r="BE419" s="153"/>
      <c r="BF419" s="153"/>
      <c r="BG419" s="153"/>
      <c r="BS419" s="13">
        <v>2</v>
      </c>
      <c r="BT419" s="123">
        <v>44491</v>
      </c>
      <c r="BU419" s="116" t="s">
        <v>8</v>
      </c>
      <c r="BV419" s="115" t="s">
        <v>482</v>
      </c>
      <c r="BW419" s="116" t="s">
        <v>502</v>
      </c>
      <c r="BX419" s="115">
        <v>18400</v>
      </c>
      <c r="BY419" s="115">
        <v>41.7</v>
      </c>
      <c r="BZ419" s="115">
        <v>47.945</v>
      </c>
      <c r="CA419" s="119">
        <v>-3216.6708800000001</v>
      </c>
      <c r="CB419" s="115">
        <v>1.1497601918465228</v>
      </c>
      <c r="CC419" s="115">
        <v>500</v>
      </c>
      <c r="CD419" s="115">
        <v>50</v>
      </c>
      <c r="CE419" s="119">
        <v>20850</v>
      </c>
    </row>
    <row r="420" spans="1:83" hidden="1">
      <c r="A420" s="13">
        <f t="shared" si="753"/>
        <v>413</v>
      </c>
      <c r="B420" s="123">
        <v>44749</v>
      </c>
      <c r="C420" s="116" t="s">
        <v>8</v>
      </c>
      <c r="D420" s="116">
        <v>1</v>
      </c>
      <c r="E420" s="115" t="s">
        <v>481</v>
      </c>
      <c r="F420" s="116" t="s">
        <v>506</v>
      </c>
      <c r="G420" s="115">
        <v>35000</v>
      </c>
      <c r="H420" s="117">
        <v>44770</v>
      </c>
      <c r="I420" s="115">
        <v>25</v>
      </c>
      <c r="J420" s="115">
        <v>697</v>
      </c>
      <c r="K420" s="115">
        <v>933.35</v>
      </c>
      <c r="L420" s="119">
        <f t="shared" ref="L420" ca="1" si="1676">IF(AND(K420&lt;&gt;0,I420&lt;&gt;0),(IF(C420="B",1,-1))*(K420-J420)*I420-AK420*2,0)*$D420*IF(MONTH($B$2)=MONTH($H420),1,0)</f>
        <v>0</v>
      </c>
      <c r="M420" s="119">
        <f t="shared" ref="M420" si="1677">IF(AND(K420&lt;&gt;0,I420&lt;&gt;0),(IF(C420="B",1,-1))*(K420-J420)*I420-AK420*2,0)*$D420</f>
        <v>-5908.7500000000009</v>
      </c>
      <c r="N420" s="115">
        <f t="shared" ref="N420" si="1678">K420/$J420</f>
        <v>1.3390961262553802</v>
      </c>
      <c r="O420" s="156">
        <f t="shared" ref="O420" si="1679">J420*(1+$O$6*IF(C420="B",-1,1))</f>
        <v>871.25</v>
      </c>
      <c r="P420" s="160">
        <f t="shared" si="754"/>
        <v>17425</v>
      </c>
      <c r="Q420" s="160">
        <f t="shared" ref="Q420" si="1680">(W420-J420)*I420*IF(C420="B",1,-1)*IF(K420=0,1,0)</f>
        <v>0</v>
      </c>
      <c r="R420" s="153" t="e">
        <f t="shared" ca="1" si="1535"/>
        <v>#VALUE!</v>
      </c>
      <c r="S420" s="119">
        <f t="shared" ref="S420" si="1681">(1-$S$6)*J420</f>
        <v>69.699999999999989</v>
      </c>
      <c r="T420" s="115" t="str">
        <f>VLOOKUP(TRIM($F420),Reference!B:C,2,0)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20" s="170">
        <f t="shared" ref="U420" ca="1" si="1682">AC420</f>
        <v>0</v>
      </c>
      <c r="V420" s="120" t="str">
        <f t="shared" si="1524"/>
        <v>BANKNIFTY22JUL35000CE</v>
      </c>
      <c r="W420" s="158">
        <f>VLOOKUP($V420,Reference!BA:BD,4,0)</f>
        <v>398.25</v>
      </c>
      <c r="X420" s="160">
        <f t="shared" ca="1" si="1525"/>
        <v>0</v>
      </c>
      <c r="Y420" s="160">
        <f t="shared" ca="1" si="1526"/>
        <v>0</v>
      </c>
      <c r="Z420" s="160">
        <f t="shared" ca="1" si="1538"/>
        <v>0</v>
      </c>
      <c r="AA420" s="160">
        <f t="shared" ca="1" si="1527"/>
        <v>0</v>
      </c>
      <c r="AB420" s="160">
        <f t="shared" ca="1" si="1528"/>
        <v>0</v>
      </c>
      <c r="AC420" s="119">
        <f t="shared" ca="1" si="1529"/>
        <v>0</v>
      </c>
      <c r="AD420" s="115">
        <f t="shared" ref="AD420" ca="1" si="1683">(H420-TODAY())/365</f>
        <v>-1.1342465753424658</v>
      </c>
      <c r="AE420" s="115">
        <f t="shared" ref="AE420" si="1684">IF(I420&lt;&gt;0,20,0)</f>
        <v>20</v>
      </c>
      <c r="AF420" s="115"/>
      <c r="AG420" s="115"/>
      <c r="AH420" s="115">
        <f t="shared" si="755"/>
        <v>8.7125000000000004</v>
      </c>
      <c r="AI420" s="115"/>
      <c r="AJ420" s="115">
        <f t="shared" si="756"/>
        <v>0</v>
      </c>
      <c r="AK420" s="115"/>
      <c r="AL420" s="142"/>
      <c r="AM420" s="153"/>
      <c r="AN420" s="153"/>
      <c r="AO420" s="153"/>
      <c r="AP420" s="153"/>
      <c r="AQ420" s="153"/>
      <c r="AR420" s="153"/>
      <c r="AS420" s="153"/>
      <c r="AT420" s="153"/>
      <c r="AU420" s="153"/>
      <c r="AV420" s="153"/>
      <c r="AW420" s="153"/>
      <c r="AX420" s="153"/>
      <c r="AY420" s="153"/>
      <c r="AZ420" s="153"/>
      <c r="BA420" s="153"/>
      <c r="BB420" s="153"/>
      <c r="BC420" s="153"/>
      <c r="BD420" s="153"/>
      <c r="BE420" s="153"/>
      <c r="BF420" s="153"/>
      <c r="BG420" s="153"/>
      <c r="BS420" s="13">
        <v>2</v>
      </c>
      <c r="BT420" s="123">
        <v>44491</v>
      </c>
      <c r="BU420" s="116" t="s">
        <v>8</v>
      </c>
      <c r="BV420" s="115" t="s">
        <v>482</v>
      </c>
      <c r="BW420" s="116" t="s">
        <v>502</v>
      </c>
      <c r="BX420" s="115">
        <v>18400</v>
      </c>
      <c r="BY420" s="115">
        <v>41.7</v>
      </c>
      <c r="BZ420" s="115">
        <v>47.945</v>
      </c>
      <c r="CA420" s="119">
        <v>-3216.6708800000001</v>
      </c>
      <c r="CB420" s="115">
        <v>1.1497601918465228</v>
      </c>
      <c r="CC420" s="115">
        <v>500</v>
      </c>
      <c r="CD420" s="115">
        <v>50</v>
      </c>
      <c r="CE420" s="119">
        <v>20850</v>
      </c>
    </row>
    <row r="421" spans="1:83" hidden="1">
      <c r="A421" s="13">
        <f t="shared" si="753"/>
        <v>414</v>
      </c>
      <c r="B421" s="123">
        <v>44749</v>
      </c>
      <c r="C421" s="116" t="s">
        <v>8</v>
      </c>
      <c r="D421" s="116">
        <v>1</v>
      </c>
      <c r="E421" s="115" t="s">
        <v>481</v>
      </c>
      <c r="F421" s="116" t="s">
        <v>502</v>
      </c>
      <c r="G421" s="115">
        <v>16600</v>
      </c>
      <c r="H421" s="117">
        <v>44770</v>
      </c>
      <c r="I421" s="115">
        <v>50</v>
      </c>
      <c r="J421" s="115">
        <v>93.85</v>
      </c>
      <c r="K421" s="115">
        <v>0</v>
      </c>
      <c r="L421" s="119">
        <f t="shared" ref="L421" ca="1" si="1685">IF(AND(K421&lt;&gt;0,I421&lt;&gt;0),(IF(C421="B",1,-1))*(K421-J421)*I421-AK421*2,0)*$D421*IF(MONTH($B$2)=MONTH($H421),1,0)</f>
        <v>0</v>
      </c>
      <c r="M421" s="119">
        <f t="shared" ref="M421" si="1686">IF(AND(K421&lt;&gt;0,I421&lt;&gt;0),(IF(C421="B",1,-1))*(K421-J421)*I421-AK421*2,0)*$D421</f>
        <v>0</v>
      </c>
      <c r="N421" s="115">
        <f t="shared" ref="N421" si="1687">K421/$J421</f>
        <v>0</v>
      </c>
      <c r="O421" s="156">
        <f t="shared" ref="O421" si="1688">J421*(1+$O$6*IF(C421="B",-1,1))</f>
        <v>117.3125</v>
      </c>
      <c r="P421" s="160">
        <f t="shared" si="754"/>
        <v>4692.5</v>
      </c>
      <c r="Q421" s="160">
        <f t="shared" ref="Q421" si="1689">(W421-J421)*I421*IF(C421="B",1,-1)*IF(K421=0,1,0)</f>
        <v>3697.4999999999995</v>
      </c>
      <c r="R421" s="153" t="e">
        <f t="shared" ca="1" si="1535"/>
        <v>#VALUE!</v>
      </c>
      <c r="S421" s="119">
        <f t="shared" ref="S421" si="1690">(1-$S$6)*J421</f>
        <v>9.384999999999998</v>
      </c>
      <c r="T421" s="115" t="str">
        <f>VLOOKUP(TRIM($F421),Reference!B:C,2,0)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21" s="170">
        <f t="shared" ref="U421" ca="1" si="1691">AC421</f>
        <v>0</v>
      </c>
      <c r="V421" s="120" t="str">
        <f>TRIM(F421)&amp;TEXT(H421,"YY")&amp;UPPER(TEXT(H421,"MMM"))&amp;TRIM(G421)&amp;TRIM(E421)</f>
        <v>NIFTY22JUL16600CE</v>
      </c>
      <c r="W421" s="158">
        <f>VLOOKUP($V421,Reference!BA:BD,4,0)</f>
        <v>19.899999999999999</v>
      </c>
      <c r="X421" s="160">
        <f t="shared" ca="1" si="1525"/>
        <v>0</v>
      </c>
      <c r="Y421" s="160">
        <f t="shared" ca="1" si="1526"/>
        <v>0</v>
      </c>
      <c r="Z421" s="160">
        <f t="shared" ca="1" si="1538"/>
        <v>0</v>
      </c>
      <c r="AA421" s="160">
        <f t="shared" ca="1" si="1527"/>
        <v>0</v>
      </c>
      <c r="AB421" s="160">
        <f t="shared" ca="1" si="1528"/>
        <v>0</v>
      </c>
      <c r="AC421" s="119">
        <f t="shared" ca="1" si="1529"/>
        <v>0</v>
      </c>
      <c r="AD421" s="115">
        <f t="shared" ref="AD421" ca="1" si="1692">(H421-TODAY())/365</f>
        <v>-1.1342465753424658</v>
      </c>
      <c r="AE421" s="115">
        <f t="shared" ref="AE421" si="1693">IF(I421&lt;&gt;0,20,0)</f>
        <v>20</v>
      </c>
      <c r="AF421" s="115"/>
      <c r="AG421" s="115"/>
      <c r="AH421" s="115">
        <f t="shared" si="755"/>
        <v>2.3462499999999999</v>
      </c>
      <c r="AI421" s="115"/>
      <c r="AJ421" s="115">
        <f t="shared" si="756"/>
        <v>0</v>
      </c>
      <c r="AK421" s="115"/>
      <c r="AL421" s="142"/>
      <c r="AM421" s="153"/>
      <c r="AN421" s="153"/>
      <c r="AO421" s="153"/>
      <c r="AP421" s="153"/>
      <c r="AQ421" s="153"/>
      <c r="AR421" s="153"/>
      <c r="AS421" s="153"/>
      <c r="AT421" s="153"/>
      <c r="AU421" s="153"/>
      <c r="AV421" s="153"/>
      <c r="AW421" s="153"/>
      <c r="AX421" s="153"/>
      <c r="AY421" s="153"/>
      <c r="AZ421" s="153"/>
      <c r="BA421" s="153"/>
      <c r="BB421" s="153"/>
      <c r="BC421" s="153"/>
      <c r="BD421" s="153"/>
      <c r="BE421" s="153"/>
      <c r="BF421" s="153"/>
      <c r="BG421" s="153"/>
      <c r="BS421" s="13">
        <v>2</v>
      </c>
      <c r="BT421" s="123">
        <v>44491</v>
      </c>
      <c r="BU421" s="116" t="s">
        <v>8</v>
      </c>
      <c r="BV421" s="115" t="s">
        <v>482</v>
      </c>
      <c r="BW421" s="116" t="s">
        <v>502</v>
      </c>
      <c r="BX421" s="115">
        <v>18400</v>
      </c>
      <c r="BY421" s="115">
        <v>41.7</v>
      </c>
      <c r="BZ421" s="115">
        <v>47.945</v>
      </c>
      <c r="CA421" s="119">
        <v>-3216.6708800000001</v>
      </c>
      <c r="CB421" s="115">
        <v>1.1497601918465228</v>
      </c>
      <c r="CC421" s="115">
        <v>500</v>
      </c>
      <c r="CD421" s="115">
        <v>50</v>
      </c>
      <c r="CE421" s="119">
        <v>20850</v>
      </c>
    </row>
    <row r="422" spans="1:83" hidden="1">
      <c r="A422" s="13">
        <f t="shared" si="753"/>
        <v>415</v>
      </c>
      <c r="B422" s="123">
        <v>44753</v>
      </c>
      <c r="C422" s="116" t="s">
        <v>8</v>
      </c>
      <c r="D422" s="116">
        <v>1</v>
      </c>
      <c r="E422" s="115" t="s">
        <v>482</v>
      </c>
      <c r="F422" s="116" t="s">
        <v>399</v>
      </c>
      <c r="G422" s="115">
        <v>1620</v>
      </c>
      <c r="H422" s="117">
        <v>44770</v>
      </c>
      <c r="I422" s="115">
        <v>300</v>
      </c>
      <c r="J422" s="115">
        <v>23.6</v>
      </c>
      <c r="K422" s="115">
        <v>0</v>
      </c>
      <c r="L422" s="119">
        <f t="shared" ref="L422:L424" ca="1" si="1694">IF(AND(K422&lt;&gt;0,I422&lt;&gt;0),(IF(C422="B",1,-1))*(K422-J422)*I422-AK422*2,0)*$D422*IF(MONTH($B$2)=MONTH($H422),1,0)</f>
        <v>0</v>
      </c>
      <c r="M422" s="119">
        <f t="shared" ref="M422:M424" si="1695">IF(AND(K422&lt;&gt;0,I422&lt;&gt;0),(IF(C422="B",1,-1))*(K422-J422)*I422-AK422*2,0)*$D422</f>
        <v>0</v>
      </c>
      <c r="N422" s="115">
        <f t="shared" ref="N422:N424" si="1696">K422/$J422</f>
        <v>0</v>
      </c>
      <c r="O422" s="156">
        <f t="shared" ref="O422:O424" si="1697">J422*(1+$O$6*IF(C422="B",-1,1))</f>
        <v>29.5</v>
      </c>
      <c r="P422" s="160">
        <f t="shared" si="754"/>
        <v>7080</v>
      </c>
      <c r="Q422" s="160">
        <f t="shared" ref="Q422:Q424" si="1698">(W422-J422)*I422*IF(C422="B",1,-1)*IF(K422=0,1,0)</f>
        <v>-1394.9999999999995</v>
      </c>
      <c r="R422" s="153" t="e">
        <f t="shared" ref="R422:R424" ca="1" si="1699">Z422*T422</f>
        <v>#VALUE!</v>
      </c>
      <c r="S422" s="119">
        <f t="shared" ref="S422:S424" si="1700">(1-$S$6)*J422</f>
        <v>2.3599999999999994</v>
      </c>
      <c r="T422" s="115" t="e">
        <f>VLOOKUP(TRIM($F422),Reference!B:C,2,0)</f>
        <v>#VALUE!</v>
      </c>
      <c r="U422" s="170">
        <f t="shared" ref="U422:U424" ca="1" si="1701">AC422</f>
        <v>0</v>
      </c>
      <c r="V422" s="120" t="str">
        <f>TRIM(F422)&amp;TEXT(H422,"YY")&amp;UPPER(TEXT(H422,"MMM"))&amp;TRIM(G422)&amp;TRIM(E422)</f>
        <v>LT22JUL1620PE</v>
      </c>
      <c r="W422" s="158">
        <f>VLOOKUP($V422,Reference!BA:BD,4,0)</f>
        <v>28.25</v>
      </c>
      <c r="X422" s="160">
        <f t="shared" ref="X422:X424" ca="1" si="1702">IF(OR($AD422&lt;0,$K422&lt;&gt;0),0,IF($E422="FUT",W422,OptionPrice(LEFT($E422),$T422,$G422,$AD422,RISKFREE_RATE,$U422,NIFTY_DIVYLD))*IF(C422="B",1,-1)*IF(I422=0,0,1)*IF(K422=0,1,0)*I422)</f>
        <v>0</v>
      </c>
      <c r="Y422" s="160">
        <f t="shared" ref="Y422:Y424" ca="1" si="1703">IF(OR($AD422&lt;0,$K422&lt;&gt;0),0,IF($E422="FUT",1,OptionDelta(LEFT(E422),T422,G422,AD422,RISKFREE_RATE,U422,NIFTY_DIVYLD)))</f>
        <v>0</v>
      </c>
      <c r="Z422" s="160">
        <f t="shared" ref="Z422:Z424" ca="1" si="1704">Y422*IF(C422="B",1,-1)*IF(I422=0,0,1)*IF(K422=0,1,0)*I422</f>
        <v>0</v>
      </c>
      <c r="AA422" s="160">
        <f t="shared" ref="AA422:AA424" ca="1" si="1705">IF(OR($AD422&lt;0,$K422&lt;&gt;0),0,IF($E422="FUT",0,OptionTheta(LEFT(E422),T422,G422,AD422,RISKFREE_RATE,U422,NIFTY_DIVYLD))*IF(C422="B",1,-1)*IF(I422=0,0,1)*IF(K422=0,1,0)*I422)</f>
        <v>0</v>
      </c>
      <c r="AB422" s="160">
        <f t="shared" ref="AB422:AB424" ca="1" si="1706">IF(OR($AD422&lt;0,$K422&lt;&gt;0),0,IF($E422="FUT",0,OptionGamma(T422,G422,AD422,RISKFREE_RATE,U422,NIFTY_DIVYLD))*IF(C422="B",1,-1)*IF(I422=0,0,1)*IF(K422=0,1,0))</f>
        <v>0</v>
      </c>
      <c r="AC422" s="119">
        <f t="shared" ref="AC422:AC424" ca="1" si="1707">IF(OR($AD422&lt;0,$K422&lt;&gt;0),0,IF($E422="FUT",0,ImpliedVolatility(LEFT(E422),T422,G422,RISKFREE_RATE,AD422,NIFTY_DIVYLD,W422,$AC$6)))</f>
        <v>0</v>
      </c>
      <c r="AD422" s="115">
        <f t="shared" ref="AD422:AD424" ca="1" si="1708">(H422-TODAY())/365</f>
        <v>-1.1342465753424658</v>
      </c>
      <c r="AE422" s="115">
        <f t="shared" ref="AE422:AE424" si="1709">IF(I422&lt;&gt;0,20,0)</f>
        <v>20</v>
      </c>
      <c r="AF422" s="115"/>
      <c r="AG422" s="115"/>
      <c r="AH422" s="115">
        <f t="shared" si="755"/>
        <v>3.54</v>
      </c>
      <c r="AI422" s="115"/>
      <c r="AJ422" s="115">
        <f t="shared" si="756"/>
        <v>0</v>
      </c>
      <c r="AK422" s="115"/>
      <c r="AL422" s="142"/>
      <c r="AM422" s="153"/>
      <c r="AN422" s="153"/>
      <c r="AO422" s="153"/>
      <c r="AP422" s="153"/>
      <c r="AQ422" s="153"/>
      <c r="AR422" s="153"/>
      <c r="AS422" s="153"/>
      <c r="AT422" s="153"/>
      <c r="AU422" s="153"/>
      <c r="AV422" s="153"/>
      <c r="AW422" s="153"/>
      <c r="AX422" s="153"/>
      <c r="AY422" s="153"/>
      <c r="AZ422" s="153"/>
      <c r="BA422" s="153"/>
      <c r="BB422" s="153"/>
      <c r="BC422" s="153"/>
      <c r="BD422" s="153"/>
      <c r="BE422" s="153"/>
      <c r="BF422" s="153"/>
      <c r="BG422" s="153"/>
      <c r="BS422" s="13">
        <v>2</v>
      </c>
      <c r="BT422" s="123">
        <v>44491</v>
      </c>
      <c r="BU422" s="116" t="s">
        <v>8</v>
      </c>
      <c r="BV422" s="115" t="s">
        <v>482</v>
      </c>
      <c r="BW422" s="116" t="s">
        <v>502</v>
      </c>
      <c r="BX422" s="115">
        <v>18400</v>
      </c>
      <c r="BY422" s="115">
        <v>41.7</v>
      </c>
      <c r="BZ422" s="115">
        <v>47.945</v>
      </c>
      <c r="CA422" s="119">
        <v>-3216.6708800000001</v>
      </c>
      <c r="CB422" s="115">
        <v>1.1497601918465228</v>
      </c>
      <c r="CC422" s="115">
        <v>500</v>
      </c>
      <c r="CD422" s="115">
        <v>50</v>
      </c>
      <c r="CE422" s="119">
        <v>20850</v>
      </c>
    </row>
    <row r="423" spans="1:83" hidden="1">
      <c r="A423" s="13">
        <f t="shared" si="753"/>
        <v>416</v>
      </c>
      <c r="B423" s="123">
        <v>44753</v>
      </c>
      <c r="C423" s="116" t="s">
        <v>8</v>
      </c>
      <c r="D423" s="116">
        <v>1</v>
      </c>
      <c r="E423" s="115" t="s">
        <v>481</v>
      </c>
      <c r="F423" s="116" t="s">
        <v>506</v>
      </c>
      <c r="G423" s="115">
        <v>36000</v>
      </c>
      <c r="H423" s="117">
        <v>44770</v>
      </c>
      <c r="I423" s="115">
        <v>25</v>
      </c>
      <c r="J423" s="115">
        <v>405</v>
      </c>
      <c r="K423" s="115">
        <v>0</v>
      </c>
      <c r="L423" s="119">
        <f t="shared" ca="1" si="1694"/>
        <v>0</v>
      </c>
      <c r="M423" s="119">
        <f t="shared" si="1695"/>
        <v>0</v>
      </c>
      <c r="N423" s="115">
        <f t="shared" si="1696"/>
        <v>0</v>
      </c>
      <c r="O423" s="156">
        <f t="shared" si="1697"/>
        <v>506.25</v>
      </c>
      <c r="P423" s="160">
        <f t="shared" si="754"/>
        <v>10125</v>
      </c>
      <c r="Q423" s="160">
        <f t="shared" si="1698"/>
        <v>7487.5</v>
      </c>
      <c r="R423" s="153" t="e">
        <f t="shared" ca="1" si="1699"/>
        <v>#VALUE!</v>
      </c>
      <c r="S423" s="119">
        <f t="shared" si="1700"/>
        <v>40.499999999999993</v>
      </c>
      <c r="T423" s="115" t="str">
        <f>VLOOKUP(TRIM($F423),Reference!B:C,2,0)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23" s="170">
        <f t="shared" ca="1" si="1701"/>
        <v>0</v>
      </c>
      <c r="V423" s="120" t="str">
        <f t="shared" ref="V423:V424" si="1710">TRIM(F423)&amp;TEXT(H423,"YY")&amp;UPPER(TEXT(H423,"MMM"))&amp;TRIM(G423)&amp;TRIM(E423)</f>
        <v>BANKNIFTY22JUL36000CE</v>
      </c>
      <c r="W423" s="158">
        <f>VLOOKUP($V423,Reference!BA:BD,4,0)</f>
        <v>105.5</v>
      </c>
      <c r="X423" s="160">
        <f t="shared" ca="1" si="1702"/>
        <v>0</v>
      </c>
      <c r="Y423" s="160">
        <f t="shared" ca="1" si="1703"/>
        <v>0</v>
      </c>
      <c r="Z423" s="160">
        <f t="shared" ca="1" si="1704"/>
        <v>0</v>
      </c>
      <c r="AA423" s="160">
        <f t="shared" ca="1" si="1705"/>
        <v>0</v>
      </c>
      <c r="AB423" s="160">
        <f t="shared" ca="1" si="1706"/>
        <v>0</v>
      </c>
      <c r="AC423" s="119">
        <f t="shared" ca="1" si="1707"/>
        <v>0</v>
      </c>
      <c r="AD423" s="115">
        <f t="shared" ca="1" si="1708"/>
        <v>-1.1342465753424658</v>
      </c>
      <c r="AE423" s="115">
        <f t="shared" si="1709"/>
        <v>20</v>
      </c>
      <c r="AF423" s="115"/>
      <c r="AG423" s="115"/>
      <c r="AH423" s="115">
        <f t="shared" si="755"/>
        <v>5.0625</v>
      </c>
      <c r="AI423" s="115"/>
      <c r="AJ423" s="115">
        <f t="shared" si="756"/>
        <v>0</v>
      </c>
      <c r="AK423" s="115"/>
      <c r="AL423" s="142"/>
      <c r="AM423" s="153"/>
      <c r="AN423" s="153"/>
      <c r="AO423" s="153"/>
      <c r="AP423" s="153"/>
      <c r="AQ423" s="153"/>
      <c r="AR423" s="153"/>
      <c r="AS423" s="153"/>
      <c r="AT423" s="153"/>
      <c r="AU423" s="153"/>
      <c r="AV423" s="153"/>
      <c r="AW423" s="153"/>
      <c r="AX423" s="153"/>
      <c r="AY423" s="153"/>
      <c r="AZ423" s="153"/>
      <c r="BA423" s="153"/>
      <c r="BB423" s="153"/>
      <c r="BC423" s="153"/>
      <c r="BD423" s="153"/>
      <c r="BE423" s="153"/>
      <c r="BF423" s="153"/>
      <c r="BG423" s="153"/>
      <c r="BS423" s="13">
        <v>2</v>
      </c>
      <c r="BT423" s="123">
        <v>44491</v>
      </c>
      <c r="BU423" s="116" t="s">
        <v>8</v>
      </c>
      <c r="BV423" s="115" t="s">
        <v>482</v>
      </c>
      <c r="BW423" s="116" t="s">
        <v>502</v>
      </c>
      <c r="BX423" s="115">
        <v>18400</v>
      </c>
      <c r="BY423" s="115">
        <v>41.7</v>
      </c>
      <c r="BZ423" s="115">
        <v>47.945</v>
      </c>
      <c r="CA423" s="119">
        <v>-3216.6708800000001</v>
      </c>
      <c r="CB423" s="115">
        <v>1.1497601918465228</v>
      </c>
      <c r="CC423" s="115">
        <v>500</v>
      </c>
      <c r="CD423" s="115">
        <v>50</v>
      </c>
      <c r="CE423" s="119">
        <v>20850</v>
      </c>
    </row>
    <row r="424" spans="1:83" hidden="1">
      <c r="A424" s="13">
        <f t="shared" si="753"/>
        <v>417</v>
      </c>
      <c r="B424" s="123">
        <v>44753</v>
      </c>
      <c r="C424" s="116" t="s">
        <v>6</v>
      </c>
      <c r="D424" s="116">
        <v>1</v>
      </c>
      <c r="E424" s="115" t="s">
        <v>632</v>
      </c>
      <c r="F424" s="116" t="s">
        <v>506</v>
      </c>
      <c r="G424" s="115" t="s">
        <v>568</v>
      </c>
      <c r="H424" s="117">
        <v>44798</v>
      </c>
      <c r="I424" s="115">
        <v>25</v>
      </c>
      <c r="J424" s="115">
        <v>35320</v>
      </c>
      <c r="K424" s="115">
        <v>0</v>
      </c>
      <c r="L424" s="119">
        <f t="shared" ca="1" si="1694"/>
        <v>0</v>
      </c>
      <c r="M424" s="119">
        <f t="shared" si="1695"/>
        <v>0</v>
      </c>
      <c r="N424" s="115">
        <f t="shared" si="1696"/>
        <v>0</v>
      </c>
      <c r="O424" s="156">
        <f t="shared" si="1697"/>
        <v>26490</v>
      </c>
      <c r="P424" s="160">
        <f t="shared" si="754"/>
        <v>883000</v>
      </c>
      <c r="Q424" s="160">
        <f t="shared" si="1698"/>
        <v>-14000</v>
      </c>
      <c r="R424" s="153" t="e">
        <f t="shared" ca="1" si="1699"/>
        <v>#VALUE!</v>
      </c>
      <c r="S424" s="119">
        <f t="shared" si="1700"/>
        <v>3531.9999999999991</v>
      </c>
      <c r="T424" s="115" t="str">
        <f>VLOOKUP(TRIM($F424),Reference!B:C,2,0)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24" s="170">
        <f t="shared" ca="1" si="1701"/>
        <v>0</v>
      </c>
      <c r="V424" s="120" t="str">
        <f t="shared" si="1710"/>
        <v>BANKNIFTY22AUGFUT</v>
      </c>
      <c r="W424" s="158">
        <f>VLOOKUP($V424,Reference!BA:BD,4,0)</f>
        <v>34760</v>
      </c>
      <c r="X424" s="160">
        <f t="shared" ca="1" si="1702"/>
        <v>0</v>
      </c>
      <c r="Y424" s="160">
        <f t="shared" ca="1" si="1703"/>
        <v>0</v>
      </c>
      <c r="Z424" s="160">
        <f t="shared" ca="1" si="1704"/>
        <v>0</v>
      </c>
      <c r="AA424" s="160">
        <f t="shared" ca="1" si="1705"/>
        <v>0</v>
      </c>
      <c r="AB424" s="160">
        <f t="shared" ca="1" si="1706"/>
        <v>0</v>
      </c>
      <c r="AC424" s="119">
        <f t="shared" ca="1" si="1707"/>
        <v>0</v>
      </c>
      <c r="AD424" s="115">
        <f t="shared" ca="1" si="1708"/>
        <v>-1.0575342465753426</v>
      </c>
      <c r="AE424" s="115">
        <f t="shared" si="1709"/>
        <v>20</v>
      </c>
      <c r="AF424" s="115"/>
      <c r="AG424" s="115"/>
      <c r="AH424" s="115">
        <f t="shared" si="755"/>
        <v>0</v>
      </c>
      <c r="AI424" s="115"/>
      <c r="AJ424" s="115">
        <f t="shared" si="756"/>
        <v>26.490000000000002</v>
      </c>
      <c r="AK424" s="115"/>
      <c r="AL424" s="142"/>
      <c r="AM424" s="153"/>
      <c r="AN424" s="153"/>
      <c r="AO424" s="153"/>
      <c r="AP424" s="153"/>
      <c r="AQ424" s="153"/>
      <c r="AR424" s="153"/>
      <c r="AS424" s="153"/>
      <c r="AT424" s="153"/>
      <c r="AU424" s="153"/>
      <c r="AV424" s="153"/>
      <c r="AW424" s="153"/>
      <c r="AX424" s="153"/>
      <c r="AY424" s="153"/>
      <c r="AZ424" s="153"/>
      <c r="BA424" s="153"/>
      <c r="BB424" s="153"/>
      <c r="BC424" s="153"/>
      <c r="BD424" s="153"/>
      <c r="BE424" s="153"/>
      <c r="BF424" s="153"/>
      <c r="BG424" s="153"/>
      <c r="BS424" s="13">
        <v>2</v>
      </c>
      <c r="BT424" s="123">
        <v>44491</v>
      </c>
      <c r="BU424" s="116" t="s">
        <v>8</v>
      </c>
      <c r="BV424" s="115" t="s">
        <v>482</v>
      </c>
      <c r="BW424" s="116" t="s">
        <v>502</v>
      </c>
      <c r="BX424" s="115">
        <v>18400</v>
      </c>
      <c r="BY424" s="115">
        <v>41.7</v>
      </c>
      <c r="BZ424" s="115">
        <v>47.945</v>
      </c>
      <c r="CA424" s="119">
        <v>-3216.6708800000001</v>
      </c>
      <c r="CB424" s="115">
        <v>1.1497601918465228</v>
      </c>
      <c r="CC424" s="115">
        <v>500</v>
      </c>
      <c r="CD424" s="115">
        <v>50</v>
      </c>
      <c r="CE424" s="119">
        <v>20850</v>
      </c>
    </row>
    <row r="425" spans="1:83">
      <c r="A425" s="13">
        <f t="shared" si="753"/>
        <v>418</v>
      </c>
      <c r="B425" s="123">
        <v>44754</v>
      </c>
      <c r="C425" s="116" t="s">
        <v>6</v>
      </c>
      <c r="D425" s="116">
        <v>1</v>
      </c>
      <c r="E425" s="115" t="s">
        <v>632</v>
      </c>
      <c r="F425" s="116" t="s">
        <v>104</v>
      </c>
      <c r="G425" s="115" t="s">
        <v>568</v>
      </c>
      <c r="H425" s="117">
        <v>44798</v>
      </c>
      <c r="I425" s="115">
        <v>300</v>
      </c>
      <c r="J425" s="115">
        <v>2492.9</v>
      </c>
      <c r="K425" s="115">
        <v>2560</v>
      </c>
      <c r="L425" s="119">
        <f t="shared" ref="L425:L426" ca="1" si="1711">IF(AND(K425&lt;&gt;0,I425&lt;&gt;0),(IF(C425="B",1,-1))*(K425-J425)*I425-AK425*2,0)*$D425*IF(MONTH($B$2)=MONTH($H425),1,0)</f>
        <v>0</v>
      </c>
      <c r="M425" s="119">
        <f t="shared" ref="M425:M426" si="1712">IF(AND(K425&lt;&gt;0,I425&lt;&gt;0),(IF(C425="B",1,-1))*(K425-J425)*I425-AK425*2,0)*$D425</f>
        <v>20129.999999999971</v>
      </c>
      <c r="N425" s="115">
        <f t="shared" ref="N425:N426" si="1713">K425/$J425</f>
        <v>1.0269164426972601</v>
      </c>
      <c r="O425" s="156">
        <f t="shared" ref="O425:O426" si="1714">J425*(1+$O$6*IF(C425="B",-1,1))</f>
        <v>1869.6750000000002</v>
      </c>
      <c r="P425" s="160">
        <f t="shared" si="754"/>
        <v>747870</v>
      </c>
      <c r="Q425" s="160">
        <f t="shared" ref="Q425:Q426" si="1715">(W425-J425)*I425*IF(C425="B",1,-1)*IF(K425=0,1,0)</f>
        <v>0</v>
      </c>
      <c r="R425" s="153" t="e">
        <f t="shared" ref="R425:R426" ca="1" si="1716">Z425*T425</f>
        <v>#VALUE!</v>
      </c>
      <c r="S425" s="119">
        <f t="shared" ref="S425:S426" si="1717">(1-$S$6)*J425</f>
        <v>249.28999999999996</v>
      </c>
      <c r="T425" s="115" t="e">
        <f>VLOOKUP(TRIM($F425),Reference!B:C,2,0)</f>
        <v>#VALUE!</v>
      </c>
      <c r="U425" s="170">
        <f t="shared" ref="U425:U426" ca="1" si="1718">AC425</f>
        <v>0</v>
      </c>
      <c r="V425" s="120" t="str">
        <f t="shared" ref="V425" si="1719">TRIM(F425)&amp;TEXT(H425,"YY")&amp;UPPER(TEXT(H425,"MMM"))&amp;TRIM(G425)&amp;TRIM(E425)</f>
        <v>HINDUNILVR22AUGFUT</v>
      </c>
      <c r="W425" s="158">
        <f>VLOOKUP($V425,Reference!BA:BD,4,0)</f>
        <v>2510.85</v>
      </c>
      <c r="X425" s="160">
        <f t="shared" ref="X425:X426" ca="1" si="1720">IF(OR($AD425&lt;0,$K425&lt;&gt;0),0,IF($E425="FUT",W425,OptionPrice(LEFT($E425),$T425,$G425,$AD425,RISKFREE_RATE,$U425,NIFTY_DIVYLD))*IF(C425="B",1,-1)*IF(I425=0,0,1)*IF(K425=0,1,0)*I425)</f>
        <v>0</v>
      </c>
      <c r="Y425" s="160">
        <f t="shared" ref="Y425:Y426" ca="1" si="1721">IF(OR($AD425&lt;0,$K425&lt;&gt;0),0,IF($E425="FUT",1,OptionDelta(LEFT(E425),T425,G425,AD425,RISKFREE_RATE,U425,NIFTY_DIVYLD)))</f>
        <v>0</v>
      </c>
      <c r="Z425" s="160">
        <f t="shared" ref="Z425:Z426" ca="1" si="1722">Y425*IF(C425="B",1,-1)*IF(I425=0,0,1)*IF(K425=0,1,0)*I425</f>
        <v>0</v>
      </c>
      <c r="AA425" s="160">
        <f t="shared" ref="AA425:AA426" ca="1" si="1723">IF(OR($AD425&lt;0,$K425&lt;&gt;0),0,IF($E425="FUT",0,OptionTheta(LEFT(E425),T425,G425,AD425,RISKFREE_RATE,U425,NIFTY_DIVYLD))*IF(C425="B",1,-1)*IF(I425=0,0,1)*IF(K425=0,1,0)*I425)</f>
        <v>0</v>
      </c>
      <c r="AB425" s="160">
        <f t="shared" ref="AB425:AB426" ca="1" si="1724">IF(OR($AD425&lt;0,$K425&lt;&gt;0),0,IF($E425="FUT",0,OptionGamma(T425,G425,AD425,RISKFREE_RATE,U425,NIFTY_DIVYLD))*IF(C425="B",1,-1)*IF(I425=0,0,1)*IF(K425=0,1,0))</f>
        <v>0</v>
      </c>
      <c r="AC425" s="119">
        <f t="shared" ref="AC425:AC426" ca="1" si="1725">IF(OR($AD425&lt;0,$K425&lt;&gt;0),0,IF($E425="FUT",0,ImpliedVolatility(LEFT(E425),T425,G425,RISKFREE_RATE,AD425,NIFTY_DIVYLD,W425,$AC$6)))</f>
        <v>0</v>
      </c>
      <c r="AD425" s="115">
        <f t="shared" ref="AD425:AD426" ca="1" si="1726">(H425-TODAY())/365</f>
        <v>-1.0575342465753426</v>
      </c>
      <c r="AE425" s="115">
        <f t="shared" ref="AE425:AE426" si="1727">IF(I425&lt;&gt;0,20,0)</f>
        <v>20</v>
      </c>
      <c r="AF425" s="115"/>
      <c r="AG425" s="115"/>
      <c r="AH425" s="115">
        <f t="shared" si="755"/>
        <v>0</v>
      </c>
      <c r="AI425" s="115"/>
      <c r="AJ425" s="115">
        <f t="shared" si="756"/>
        <v>22.4361</v>
      </c>
      <c r="AK425" s="115"/>
      <c r="AL425" s="142"/>
      <c r="AM425" s="153"/>
      <c r="AN425" s="153"/>
      <c r="AO425" s="153"/>
      <c r="AP425" s="153"/>
      <c r="AQ425" s="153"/>
      <c r="AR425" s="153"/>
      <c r="AS425" s="153"/>
      <c r="AT425" s="153"/>
      <c r="AU425" s="153"/>
      <c r="AV425" s="153"/>
      <c r="AW425" s="153"/>
      <c r="AX425" s="153"/>
      <c r="AY425" s="153"/>
      <c r="AZ425" s="153"/>
      <c r="BA425" s="153"/>
      <c r="BB425" s="153"/>
      <c r="BC425" s="153"/>
      <c r="BD425" s="153"/>
      <c r="BE425" s="153"/>
      <c r="BF425" s="153"/>
      <c r="BG425" s="153"/>
      <c r="BS425" s="13">
        <v>2</v>
      </c>
      <c r="BT425" s="123">
        <v>44491</v>
      </c>
      <c r="BU425" s="116" t="s">
        <v>8</v>
      </c>
      <c r="BV425" s="115" t="s">
        <v>482</v>
      </c>
      <c r="BW425" s="116" t="s">
        <v>502</v>
      </c>
      <c r="BX425" s="115">
        <v>18400</v>
      </c>
      <c r="BY425" s="115">
        <v>41.7</v>
      </c>
      <c r="BZ425" s="115">
        <v>47.945</v>
      </c>
      <c r="CA425" s="119">
        <v>-3216.6708800000001</v>
      </c>
      <c r="CB425" s="115">
        <v>1.1497601918465228</v>
      </c>
      <c r="CC425" s="115">
        <v>500</v>
      </c>
      <c r="CD425" s="115">
        <v>50</v>
      </c>
      <c r="CE425" s="119">
        <v>20850</v>
      </c>
    </row>
    <row r="426" spans="1:83">
      <c r="A426" s="13">
        <f t="shared" si="753"/>
        <v>419</v>
      </c>
      <c r="B426" s="123">
        <v>44754</v>
      </c>
      <c r="C426" s="116" t="s">
        <v>6</v>
      </c>
      <c r="D426" s="116">
        <v>1</v>
      </c>
      <c r="E426" s="115" t="s">
        <v>482</v>
      </c>
      <c r="F426" s="116" t="s">
        <v>104</v>
      </c>
      <c r="G426" s="115">
        <v>2460</v>
      </c>
      <c r="H426" s="117">
        <v>44770</v>
      </c>
      <c r="I426" s="115">
        <v>300</v>
      </c>
      <c r="J426" s="115">
        <v>42.45</v>
      </c>
      <c r="K426" s="115">
        <v>18</v>
      </c>
      <c r="L426" s="119">
        <f t="shared" ca="1" si="1711"/>
        <v>0</v>
      </c>
      <c r="M426" s="119">
        <f t="shared" si="1712"/>
        <v>-7335.0000000000009</v>
      </c>
      <c r="N426" s="115">
        <f t="shared" si="1713"/>
        <v>0.42402826855123671</v>
      </c>
      <c r="O426" s="156">
        <f t="shared" si="1714"/>
        <v>31.837500000000002</v>
      </c>
      <c r="P426" s="160">
        <f t="shared" si="754"/>
        <v>12735</v>
      </c>
      <c r="Q426" s="160">
        <f t="shared" si="1715"/>
        <v>0</v>
      </c>
      <c r="R426" s="153" t="e">
        <f t="shared" ca="1" si="1716"/>
        <v>#VALUE!</v>
      </c>
      <c r="S426" s="119">
        <f t="shared" si="1717"/>
        <v>4.2449999999999992</v>
      </c>
      <c r="T426" s="115" t="e">
        <f>VLOOKUP(TRIM($F426),Reference!B:C,2,0)</f>
        <v>#VALUE!</v>
      </c>
      <c r="U426" s="170">
        <f t="shared" ca="1" si="1718"/>
        <v>0</v>
      </c>
      <c r="V426" s="120" t="str">
        <f t="shared" ref="V426:V431" si="1728">TRIM(F426)&amp;TEXT(H426,"YY")&amp;UPPER(TEXT(H426,"MMM"))&amp;TRIM(G426)&amp;TRIM(E426)</f>
        <v>HINDUNILVR22JUL2460PE</v>
      </c>
      <c r="W426" s="158">
        <f>VLOOKUP($V426,Reference!BA:BD,4,0)</f>
        <v>32</v>
      </c>
      <c r="X426" s="160">
        <f t="shared" ca="1" si="1720"/>
        <v>0</v>
      </c>
      <c r="Y426" s="160">
        <f t="shared" ca="1" si="1721"/>
        <v>0</v>
      </c>
      <c r="Z426" s="160">
        <f t="shared" ca="1" si="1722"/>
        <v>0</v>
      </c>
      <c r="AA426" s="160">
        <f t="shared" ca="1" si="1723"/>
        <v>0</v>
      </c>
      <c r="AB426" s="160">
        <f t="shared" ca="1" si="1724"/>
        <v>0</v>
      </c>
      <c r="AC426" s="119">
        <f t="shared" ca="1" si="1725"/>
        <v>0</v>
      </c>
      <c r="AD426" s="115">
        <f t="shared" ca="1" si="1726"/>
        <v>-1.1342465753424658</v>
      </c>
      <c r="AE426" s="115">
        <f t="shared" si="1727"/>
        <v>20</v>
      </c>
      <c r="AF426" s="115"/>
      <c r="AG426" s="115"/>
      <c r="AH426" s="115">
        <f t="shared" si="755"/>
        <v>0</v>
      </c>
      <c r="AI426" s="115"/>
      <c r="AJ426" s="115">
        <f t="shared" si="756"/>
        <v>0.38205</v>
      </c>
      <c r="AK426" s="115"/>
      <c r="AL426" s="142"/>
      <c r="AM426" s="153"/>
      <c r="AN426" s="153"/>
      <c r="AO426" s="153"/>
      <c r="AP426" s="153"/>
      <c r="AQ426" s="153"/>
      <c r="AR426" s="153"/>
      <c r="AS426" s="153"/>
      <c r="AT426" s="153"/>
      <c r="AU426" s="153"/>
      <c r="AV426" s="153"/>
      <c r="AW426" s="153"/>
      <c r="AX426" s="153"/>
      <c r="AY426" s="153"/>
      <c r="AZ426" s="153"/>
      <c r="BA426" s="153"/>
      <c r="BB426" s="153"/>
      <c r="BC426" s="153"/>
      <c r="BD426" s="153"/>
      <c r="BE426" s="153"/>
      <c r="BF426" s="153"/>
      <c r="BG426" s="153"/>
      <c r="BS426" s="13">
        <v>2</v>
      </c>
      <c r="BT426" s="123">
        <v>44491</v>
      </c>
      <c r="BU426" s="116" t="s">
        <v>8</v>
      </c>
      <c r="BV426" s="115" t="s">
        <v>482</v>
      </c>
      <c r="BW426" s="116" t="s">
        <v>502</v>
      </c>
      <c r="BX426" s="115">
        <v>18400</v>
      </c>
      <c r="BY426" s="115">
        <v>41.7</v>
      </c>
      <c r="BZ426" s="115">
        <v>47.945</v>
      </c>
      <c r="CA426" s="119">
        <v>-3216.6708800000001</v>
      </c>
      <c r="CB426" s="115">
        <v>1.1497601918465228</v>
      </c>
      <c r="CC426" s="115">
        <v>500</v>
      </c>
      <c r="CD426" s="115">
        <v>50</v>
      </c>
      <c r="CE426" s="119">
        <v>20850</v>
      </c>
    </row>
    <row r="427" spans="1:83">
      <c r="A427" s="13">
        <f t="shared" si="753"/>
        <v>420</v>
      </c>
      <c r="B427" s="123">
        <v>44754</v>
      </c>
      <c r="C427" s="116" t="s">
        <v>6</v>
      </c>
      <c r="D427" s="116">
        <v>1</v>
      </c>
      <c r="E427" s="115" t="s">
        <v>482</v>
      </c>
      <c r="F427" s="116" t="s">
        <v>104</v>
      </c>
      <c r="G427" s="115">
        <v>2460</v>
      </c>
      <c r="H427" s="117">
        <v>44770</v>
      </c>
      <c r="I427" s="115">
        <v>300</v>
      </c>
      <c r="J427" s="115">
        <v>43</v>
      </c>
      <c r="K427" s="115">
        <v>18</v>
      </c>
      <c r="L427" s="119">
        <f t="shared" ref="L427" ca="1" si="1729">IF(AND(K427&lt;&gt;0,I427&lt;&gt;0),(IF(C427="B",1,-1))*(K427-J427)*I427-AK427*2,0)*$D427*IF(MONTH($B$2)=MONTH($H427),1,0)</f>
        <v>0</v>
      </c>
      <c r="M427" s="119">
        <f t="shared" ref="M427" si="1730">IF(AND(K427&lt;&gt;0,I427&lt;&gt;0),(IF(C427="B",1,-1))*(K427-J427)*I427-AK427*2,0)*$D427</f>
        <v>-7500</v>
      </c>
      <c r="N427" s="115">
        <f t="shared" ref="N427" si="1731">K427/$J427</f>
        <v>0.41860465116279072</v>
      </c>
      <c r="O427" s="156">
        <f t="shared" ref="O427" si="1732">J427*(1+$O$6*IF(C427="B",-1,1))</f>
        <v>32.25</v>
      </c>
      <c r="P427" s="160">
        <f t="shared" si="754"/>
        <v>12900</v>
      </c>
      <c r="Q427" s="160">
        <f t="shared" ref="Q427" si="1733">(W427-J427)*I427*IF(C427="B",1,-1)*IF(K427=0,1,0)</f>
        <v>0</v>
      </c>
      <c r="R427" s="153" t="e">
        <f t="shared" ref="R427" ca="1" si="1734">Z427*T427</f>
        <v>#VALUE!</v>
      </c>
      <c r="S427" s="119">
        <f t="shared" ref="S427" si="1735">(1-$S$6)*J427</f>
        <v>4.2999999999999989</v>
      </c>
      <c r="T427" s="115" t="e">
        <f>VLOOKUP(TRIM($F427),Reference!B:C,2,0)</f>
        <v>#VALUE!</v>
      </c>
      <c r="U427" s="170">
        <f t="shared" ref="U427" ca="1" si="1736">AC427</f>
        <v>0</v>
      </c>
      <c r="V427" s="120" t="str">
        <f t="shared" si="1728"/>
        <v>HINDUNILVR22JUL2460PE</v>
      </c>
      <c r="W427" s="158">
        <f>VLOOKUP($V427,Reference!BA:BD,4,0)</f>
        <v>32</v>
      </c>
      <c r="X427" s="160">
        <f t="shared" ref="X427" ca="1" si="1737">IF(OR($AD427&lt;0,$K427&lt;&gt;0),0,IF($E427="FUT",W427,OptionPrice(LEFT($E427),$T427,$G427,$AD427,RISKFREE_RATE,$U427,NIFTY_DIVYLD))*IF(C427="B",1,-1)*IF(I427=0,0,1)*IF(K427=0,1,0)*I427)</f>
        <v>0</v>
      </c>
      <c r="Y427" s="160">
        <f t="shared" ref="Y427" ca="1" si="1738">IF(OR($AD427&lt;0,$K427&lt;&gt;0),0,IF($E427="FUT",1,OptionDelta(LEFT(E427),T427,G427,AD427,RISKFREE_RATE,U427,NIFTY_DIVYLD)))</f>
        <v>0</v>
      </c>
      <c r="Z427" s="160">
        <f t="shared" ref="Z427" ca="1" si="1739">Y427*IF(C427="B",1,-1)*IF(I427=0,0,1)*IF(K427=0,1,0)*I427</f>
        <v>0</v>
      </c>
      <c r="AA427" s="160">
        <f t="shared" ref="AA427" ca="1" si="1740">IF(OR($AD427&lt;0,$K427&lt;&gt;0),0,IF($E427="FUT",0,OptionTheta(LEFT(E427),T427,G427,AD427,RISKFREE_RATE,U427,NIFTY_DIVYLD))*IF(C427="B",1,-1)*IF(I427=0,0,1)*IF(K427=0,1,0)*I427)</f>
        <v>0</v>
      </c>
      <c r="AB427" s="160">
        <f t="shared" ref="AB427" ca="1" si="1741">IF(OR($AD427&lt;0,$K427&lt;&gt;0),0,IF($E427="FUT",0,OptionGamma(T427,G427,AD427,RISKFREE_RATE,U427,NIFTY_DIVYLD))*IF(C427="B",1,-1)*IF(I427=0,0,1)*IF(K427=0,1,0))</f>
        <v>0</v>
      </c>
      <c r="AC427" s="119">
        <f t="shared" ref="AC427" ca="1" si="1742">IF(OR($AD427&lt;0,$K427&lt;&gt;0),0,IF($E427="FUT",0,ImpliedVolatility(LEFT(E427),T427,G427,RISKFREE_RATE,AD427,NIFTY_DIVYLD,W427,$AC$6)))</f>
        <v>0</v>
      </c>
      <c r="AD427" s="115">
        <f t="shared" ref="AD427" ca="1" si="1743">(H427-TODAY())/365</f>
        <v>-1.1342465753424658</v>
      </c>
      <c r="AE427" s="115">
        <f t="shared" ref="AE427" si="1744">IF(I427&lt;&gt;0,20,0)</f>
        <v>20</v>
      </c>
      <c r="AF427" s="115"/>
      <c r="AG427" s="115"/>
      <c r="AH427" s="115">
        <f t="shared" si="755"/>
        <v>0</v>
      </c>
      <c r="AI427" s="115"/>
      <c r="AJ427" s="115">
        <f t="shared" si="756"/>
        <v>0.38700000000000001</v>
      </c>
      <c r="AK427" s="115"/>
      <c r="AL427" s="142"/>
      <c r="AM427" s="153"/>
      <c r="AN427" s="153"/>
      <c r="AO427" s="153"/>
      <c r="AP427" s="153"/>
      <c r="AQ427" s="153"/>
      <c r="AR427" s="153"/>
      <c r="AS427" s="153"/>
      <c r="AT427" s="153"/>
      <c r="AU427" s="153"/>
      <c r="AV427" s="153"/>
      <c r="AW427" s="153"/>
      <c r="AX427" s="153"/>
      <c r="AY427" s="153"/>
      <c r="AZ427" s="153"/>
      <c r="BA427" s="153"/>
      <c r="BB427" s="153"/>
      <c r="BC427" s="153"/>
      <c r="BD427" s="153"/>
      <c r="BE427" s="153"/>
      <c r="BF427" s="153"/>
      <c r="BG427" s="153"/>
      <c r="BS427" s="13">
        <v>2</v>
      </c>
      <c r="BT427" s="123">
        <v>44491</v>
      </c>
      <c r="BU427" s="116" t="s">
        <v>8</v>
      </c>
      <c r="BV427" s="115" t="s">
        <v>482</v>
      </c>
      <c r="BW427" s="116" t="s">
        <v>502</v>
      </c>
      <c r="BX427" s="115">
        <v>18400</v>
      </c>
      <c r="BY427" s="115">
        <v>41.7</v>
      </c>
      <c r="BZ427" s="115">
        <v>47.945</v>
      </c>
      <c r="CA427" s="119">
        <v>-3216.6708800000001</v>
      </c>
      <c r="CB427" s="115">
        <v>1.1497601918465228</v>
      </c>
      <c r="CC427" s="115">
        <v>500</v>
      </c>
      <c r="CD427" s="115">
        <v>50</v>
      </c>
      <c r="CE427" s="119">
        <v>20850</v>
      </c>
    </row>
    <row r="428" spans="1:83">
      <c r="A428" s="13">
        <f t="shared" si="753"/>
        <v>421</v>
      </c>
      <c r="B428" s="123">
        <v>44755</v>
      </c>
      <c r="C428" s="116" t="s">
        <v>8</v>
      </c>
      <c r="D428" s="116">
        <v>1</v>
      </c>
      <c r="E428" s="115" t="s">
        <v>481</v>
      </c>
      <c r="F428" s="116" t="s">
        <v>104</v>
      </c>
      <c r="G428" s="115">
        <v>2540</v>
      </c>
      <c r="H428" s="117">
        <v>44770</v>
      </c>
      <c r="I428" s="115">
        <v>300</v>
      </c>
      <c r="J428" s="115">
        <v>33.700000000000003</v>
      </c>
      <c r="K428" s="115">
        <v>0</v>
      </c>
      <c r="L428" s="119">
        <f t="shared" ref="L428:L429" ca="1" si="1745">IF(AND(K428&lt;&gt;0,I428&lt;&gt;0),(IF(C428="B",1,-1))*(K428-J428)*I428-AK428*2,0)*$D428*IF(MONTH($B$2)=MONTH($H428),1,0)</f>
        <v>0</v>
      </c>
      <c r="M428" s="119">
        <f t="shared" ref="M428:M429" si="1746">IF(AND(K428&lt;&gt;0,I428&lt;&gt;0),(IF(C428="B",1,-1))*(K428-J428)*I428-AK428*2,0)*$D428</f>
        <v>0</v>
      </c>
      <c r="N428" s="115">
        <f t="shared" ref="N428:N429" si="1747">K428/$J428</f>
        <v>0</v>
      </c>
      <c r="O428" s="156">
        <f t="shared" ref="O428:O429" si="1748">J428*(1+$O$6*IF(C428="B",-1,1))</f>
        <v>42.125</v>
      </c>
      <c r="P428" s="160">
        <f t="shared" si="754"/>
        <v>10110</v>
      </c>
      <c r="Q428" s="160">
        <f t="shared" ref="Q428:Q429" si="1749">(W428-J428)*I428*IF(C428="B",1,-1)*IF(K428=0,1,0)</f>
        <v>-164.99999999999915</v>
      </c>
      <c r="R428" s="153" t="e">
        <f t="shared" ref="R428:R429" ca="1" si="1750">Z428*T428</f>
        <v>#VALUE!</v>
      </c>
      <c r="S428" s="119">
        <f t="shared" ref="S428:S429" si="1751">(1-$S$6)*J428</f>
        <v>3.3699999999999997</v>
      </c>
      <c r="T428" s="115" t="e">
        <f>VLOOKUP(TRIM($F428),Reference!B:C,2,0)</f>
        <v>#VALUE!</v>
      </c>
      <c r="U428" s="170">
        <f t="shared" ref="U428:U429" ca="1" si="1752">AC428</f>
        <v>0</v>
      </c>
      <c r="V428" s="120" t="str">
        <f t="shared" si="1728"/>
        <v>HINDUNILVR22JUL2540CE</v>
      </c>
      <c r="W428" s="158">
        <f>VLOOKUP($V428,Reference!BA:BD,4,0)</f>
        <v>34.25</v>
      </c>
      <c r="X428" s="160">
        <f t="shared" ref="X428:X429" ca="1" si="1753">IF(OR($AD428&lt;0,$K428&lt;&gt;0),0,IF($E428="FUT",W428,OptionPrice(LEFT($E428),$T428,$G428,$AD428,RISKFREE_RATE,$U428,NIFTY_DIVYLD))*IF(C428="B",1,-1)*IF(I428=0,0,1)*IF(K428=0,1,0)*I428)</f>
        <v>0</v>
      </c>
      <c r="Y428" s="160">
        <f t="shared" ref="Y428:Y429" ca="1" si="1754">IF(OR($AD428&lt;0,$K428&lt;&gt;0),0,IF($E428="FUT",1,OptionDelta(LEFT(E428),T428,G428,AD428,RISKFREE_RATE,U428,NIFTY_DIVYLD)))</f>
        <v>0</v>
      </c>
      <c r="Z428" s="160">
        <f t="shared" ref="Z428:Z429" ca="1" si="1755">Y428*IF(C428="B",1,-1)*IF(I428=0,0,1)*IF(K428=0,1,0)*I428</f>
        <v>0</v>
      </c>
      <c r="AA428" s="160">
        <f t="shared" ref="AA428:AA429" ca="1" si="1756">IF(OR($AD428&lt;0,$K428&lt;&gt;0),0,IF($E428="FUT",0,OptionTheta(LEFT(E428),T428,G428,AD428,RISKFREE_RATE,U428,NIFTY_DIVYLD))*IF(C428="B",1,-1)*IF(I428=0,0,1)*IF(K428=0,1,0)*I428)</f>
        <v>0</v>
      </c>
      <c r="AB428" s="160">
        <f t="shared" ref="AB428:AB429" ca="1" si="1757">IF(OR($AD428&lt;0,$K428&lt;&gt;0),0,IF($E428="FUT",0,OptionGamma(T428,G428,AD428,RISKFREE_RATE,U428,NIFTY_DIVYLD))*IF(C428="B",1,-1)*IF(I428=0,0,1)*IF(K428=0,1,0))</f>
        <v>0</v>
      </c>
      <c r="AC428" s="119">
        <f t="shared" ref="AC428:AC429" ca="1" si="1758">IF(OR($AD428&lt;0,$K428&lt;&gt;0),0,IF($E428="FUT",0,ImpliedVolatility(LEFT(E428),T428,G428,RISKFREE_RATE,AD428,NIFTY_DIVYLD,W428,$AC$6)))</f>
        <v>0</v>
      </c>
      <c r="AD428" s="115">
        <f t="shared" ref="AD428:AD429" ca="1" si="1759">(H428-TODAY())/365</f>
        <v>-1.1342465753424658</v>
      </c>
      <c r="AE428" s="115">
        <f t="shared" ref="AE428:AE429" si="1760">IF(I428&lt;&gt;0,20,0)</f>
        <v>20</v>
      </c>
      <c r="AF428" s="115"/>
      <c r="AG428" s="115"/>
      <c r="AH428" s="115">
        <f t="shared" si="755"/>
        <v>5.0549999999999997</v>
      </c>
      <c r="AI428" s="115"/>
      <c r="AJ428" s="115">
        <f t="shared" si="756"/>
        <v>0</v>
      </c>
      <c r="AK428" s="115"/>
      <c r="AL428" s="142"/>
      <c r="AM428" s="153"/>
      <c r="AN428" s="153"/>
      <c r="AO428" s="153"/>
      <c r="AP428" s="153"/>
      <c r="AQ428" s="153"/>
      <c r="AR428" s="153"/>
      <c r="AS428" s="153"/>
      <c r="AT428" s="153"/>
      <c r="AU428" s="153"/>
      <c r="AV428" s="153"/>
      <c r="AW428" s="153"/>
      <c r="AX428" s="153"/>
      <c r="AY428" s="153"/>
      <c r="AZ428" s="153"/>
      <c r="BA428" s="153"/>
      <c r="BB428" s="153"/>
      <c r="BC428" s="153"/>
      <c r="BD428" s="153"/>
      <c r="BE428" s="153"/>
      <c r="BF428" s="153"/>
      <c r="BG428" s="153"/>
      <c r="BS428" s="13">
        <v>2</v>
      </c>
      <c r="BT428" s="123">
        <v>44491</v>
      </c>
      <c r="BU428" s="116" t="s">
        <v>8</v>
      </c>
      <c r="BV428" s="115" t="s">
        <v>482</v>
      </c>
      <c r="BW428" s="116" t="s">
        <v>502</v>
      </c>
      <c r="BX428" s="115">
        <v>18400</v>
      </c>
      <c r="BY428" s="115">
        <v>41.7</v>
      </c>
      <c r="BZ428" s="115">
        <v>47.945</v>
      </c>
      <c r="CA428" s="119">
        <v>-3216.6708800000001</v>
      </c>
      <c r="CB428" s="115">
        <v>1.1497601918465228</v>
      </c>
      <c r="CC428" s="115">
        <v>500</v>
      </c>
      <c r="CD428" s="115">
        <v>50</v>
      </c>
      <c r="CE428" s="119">
        <v>20850</v>
      </c>
    </row>
    <row r="429" spans="1:83" hidden="1">
      <c r="A429" s="13">
        <f t="shared" si="753"/>
        <v>422</v>
      </c>
      <c r="B429" s="123">
        <v>44756</v>
      </c>
      <c r="C429" s="116" t="s">
        <v>6</v>
      </c>
      <c r="D429" s="116">
        <v>1</v>
      </c>
      <c r="E429" s="115" t="s">
        <v>482</v>
      </c>
      <c r="F429" s="116" t="s">
        <v>502</v>
      </c>
      <c r="G429" s="115">
        <v>16000</v>
      </c>
      <c r="H429" s="117">
        <v>44770</v>
      </c>
      <c r="I429" s="115">
        <v>50</v>
      </c>
      <c r="J429" s="115">
        <v>218.35</v>
      </c>
      <c r="K429" s="115">
        <v>0</v>
      </c>
      <c r="L429" s="119">
        <f t="shared" ca="1" si="1745"/>
        <v>0</v>
      </c>
      <c r="M429" s="119">
        <f t="shared" si="1746"/>
        <v>0</v>
      </c>
      <c r="N429" s="115">
        <f t="shared" si="1747"/>
        <v>0</v>
      </c>
      <c r="O429" s="156">
        <f t="shared" si="1748"/>
        <v>163.76249999999999</v>
      </c>
      <c r="P429" s="160">
        <f t="shared" si="754"/>
        <v>10917.5</v>
      </c>
      <c r="Q429" s="160">
        <f t="shared" si="1749"/>
        <v>1282.5000000000002</v>
      </c>
      <c r="R429" s="153" t="e">
        <f t="shared" ca="1" si="1750"/>
        <v>#VALUE!</v>
      </c>
      <c r="S429" s="119">
        <f t="shared" si="1751"/>
        <v>21.834999999999994</v>
      </c>
      <c r="T429" s="115" t="str">
        <f>VLOOKUP(TRIM($F429),Reference!B:C,2,0)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29" s="170">
        <f t="shared" ca="1" si="1752"/>
        <v>0</v>
      </c>
      <c r="V429" s="120" t="str">
        <f t="shared" si="1728"/>
        <v>NIFTY22JUL16000PE</v>
      </c>
      <c r="W429" s="158">
        <f>VLOOKUP($V429,Reference!BA:BD,4,0)</f>
        <v>244</v>
      </c>
      <c r="X429" s="160">
        <f t="shared" ca="1" si="1753"/>
        <v>0</v>
      </c>
      <c r="Y429" s="160">
        <f t="shared" ca="1" si="1754"/>
        <v>0</v>
      </c>
      <c r="Z429" s="160">
        <f t="shared" ca="1" si="1755"/>
        <v>0</v>
      </c>
      <c r="AA429" s="160">
        <f t="shared" ca="1" si="1756"/>
        <v>0</v>
      </c>
      <c r="AB429" s="160">
        <f t="shared" ca="1" si="1757"/>
        <v>0</v>
      </c>
      <c r="AC429" s="119">
        <f t="shared" ca="1" si="1758"/>
        <v>0</v>
      </c>
      <c r="AD429" s="115">
        <f t="shared" ca="1" si="1759"/>
        <v>-1.1342465753424658</v>
      </c>
      <c r="AE429" s="115">
        <f t="shared" si="1760"/>
        <v>20</v>
      </c>
      <c r="AF429" s="115"/>
      <c r="AG429" s="115"/>
      <c r="AH429" s="115">
        <f t="shared" si="755"/>
        <v>0</v>
      </c>
      <c r="AI429" s="115"/>
      <c r="AJ429" s="115">
        <f t="shared" si="756"/>
        <v>0.32752500000000001</v>
      </c>
      <c r="AK429" s="115"/>
      <c r="AL429" s="142"/>
      <c r="AM429" s="153"/>
      <c r="AN429" s="153"/>
      <c r="AO429" s="153"/>
      <c r="AP429" s="153"/>
      <c r="AQ429" s="153"/>
      <c r="AR429" s="153"/>
      <c r="AS429" s="153"/>
      <c r="AT429" s="153"/>
      <c r="AU429" s="153"/>
      <c r="AV429" s="153"/>
      <c r="AW429" s="153"/>
      <c r="AX429" s="153"/>
      <c r="AY429" s="153"/>
      <c r="AZ429" s="153"/>
      <c r="BA429" s="153"/>
      <c r="BB429" s="153"/>
      <c r="BC429" s="153"/>
      <c r="BD429" s="153"/>
      <c r="BE429" s="153"/>
      <c r="BF429" s="153"/>
      <c r="BG429" s="153"/>
      <c r="BS429" s="13">
        <v>2</v>
      </c>
      <c r="BT429" s="123">
        <v>44491</v>
      </c>
      <c r="BU429" s="116" t="s">
        <v>8</v>
      </c>
      <c r="BV429" s="115" t="s">
        <v>482</v>
      </c>
      <c r="BW429" s="116" t="s">
        <v>502</v>
      </c>
      <c r="BX429" s="115">
        <v>18400</v>
      </c>
      <c r="BY429" s="115">
        <v>41.7</v>
      </c>
      <c r="BZ429" s="115">
        <v>47.945</v>
      </c>
      <c r="CA429" s="119">
        <v>-3216.6708800000001</v>
      </c>
      <c r="CB429" s="115">
        <v>1.1497601918465228</v>
      </c>
      <c r="CC429" s="115">
        <v>500</v>
      </c>
      <c r="CD429" s="115">
        <v>50</v>
      </c>
      <c r="CE429" s="119">
        <v>20850</v>
      </c>
    </row>
    <row r="430" spans="1:83" hidden="1">
      <c r="A430" s="13">
        <f t="shared" si="753"/>
        <v>423</v>
      </c>
      <c r="B430" s="123">
        <v>44756</v>
      </c>
      <c r="C430" s="116" t="s">
        <v>8</v>
      </c>
      <c r="D430" s="116">
        <v>1</v>
      </c>
      <c r="E430" s="115" t="s">
        <v>482</v>
      </c>
      <c r="F430" s="116" t="s">
        <v>502</v>
      </c>
      <c r="G430" s="115">
        <v>15400</v>
      </c>
      <c r="H430" s="117">
        <v>44770</v>
      </c>
      <c r="I430" s="115">
        <v>50</v>
      </c>
      <c r="J430" s="115">
        <v>56.05</v>
      </c>
      <c r="K430" s="115">
        <v>0</v>
      </c>
      <c r="L430" s="119">
        <f t="shared" ref="L430:L434" ca="1" si="1761">IF(AND(K430&lt;&gt;0,I430&lt;&gt;0),(IF(C430="B",1,-1))*(K430-J430)*I430-AK430*2,0)*$D430*IF(MONTH($B$2)=MONTH($H430),1,0)</f>
        <v>0</v>
      </c>
      <c r="M430" s="119">
        <f t="shared" ref="M430:M434" si="1762">IF(AND(K430&lt;&gt;0,I430&lt;&gt;0),(IF(C430="B",1,-1))*(K430-J430)*I430-AK430*2,0)*$D430</f>
        <v>0</v>
      </c>
      <c r="N430" s="115">
        <f t="shared" ref="N430:N434" si="1763">K430/$J430</f>
        <v>0</v>
      </c>
      <c r="O430" s="156">
        <f t="shared" ref="O430:O434" si="1764">J430*(1+$O$6*IF(C430="B",-1,1))</f>
        <v>70.0625</v>
      </c>
      <c r="P430" s="160">
        <f t="shared" si="754"/>
        <v>2802.5</v>
      </c>
      <c r="Q430" s="160">
        <f t="shared" ref="Q430:Q434" si="1765">(W430-J430)*I430*IF(C430="B",1,-1)*IF(K430=0,1,0)</f>
        <v>-197.50000000000014</v>
      </c>
      <c r="R430" s="153" t="e">
        <f t="shared" ref="R430:R434" ca="1" si="1766">Z430*T430</f>
        <v>#VALUE!</v>
      </c>
      <c r="S430" s="119">
        <f t="shared" ref="S430:S434" si="1767">(1-$S$6)*J430</f>
        <v>5.6049999999999986</v>
      </c>
      <c r="T430" s="115" t="str">
        <f>VLOOKUP(TRIM($F430),Reference!B:C,2,0)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30" s="170">
        <f t="shared" ref="U430:U434" ca="1" si="1768">AC430</f>
        <v>0</v>
      </c>
      <c r="V430" s="120" t="str">
        <f t="shared" si="1728"/>
        <v>NIFTY22JUL15400PE</v>
      </c>
      <c r="W430" s="158">
        <f>VLOOKUP($V430,Reference!BA:BD,4,0)</f>
        <v>60</v>
      </c>
      <c r="X430" s="160">
        <f t="shared" ref="X430:X434" ca="1" si="1769">IF(OR($AD430&lt;0,$K430&lt;&gt;0),0,IF($E430="FUT",W430,OptionPrice(LEFT($E430),$T430,$G430,$AD430,RISKFREE_RATE,$U430,NIFTY_DIVYLD))*IF(C430="B",1,-1)*IF(I430=0,0,1)*IF(K430=0,1,0)*I430)</f>
        <v>0</v>
      </c>
      <c r="Y430" s="160">
        <f t="shared" ref="Y430:Y434" ca="1" si="1770">IF(OR($AD430&lt;0,$K430&lt;&gt;0),0,IF($E430="FUT",1,OptionDelta(LEFT(E430),T430,G430,AD430,RISKFREE_RATE,U430,NIFTY_DIVYLD)))</f>
        <v>0</v>
      </c>
      <c r="Z430" s="160">
        <f t="shared" ref="Z430:Z434" ca="1" si="1771">Y430*IF(C430="B",1,-1)*IF(I430=0,0,1)*IF(K430=0,1,0)*I430</f>
        <v>0</v>
      </c>
      <c r="AA430" s="160">
        <f t="shared" ref="AA430:AA434" ca="1" si="1772">IF(OR($AD430&lt;0,$K430&lt;&gt;0),0,IF($E430="FUT",0,OptionTheta(LEFT(E430),T430,G430,AD430,RISKFREE_RATE,U430,NIFTY_DIVYLD))*IF(C430="B",1,-1)*IF(I430=0,0,1)*IF(K430=0,1,0)*I430)</f>
        <v>0</v>
      </c>
      <c r="AB430" s="160">
        <f t="shared" ref="AB430:AB434" ca="1" si="1773">IF(OR($AD430&lt;0,$K430&lt;&gt;0),0,IF($E430="FUT",0,OptionGamma(T430,G430,AD430,RISKFREE_RATE,U430,NIFTY_DIVYLD))*IF(C430="B",1,-1)*IF(I430=0,0,1)*IF(K430=0,1,0))</f>
        <v>0</v>
      </c>
      <c r="AC430" s="119">
        <f t="shared" ref="AC430:AC434" ca="1" si="1774">IF(OR($AD430&lt;0,$K430&lt;&gt;0),0,IF($E430="FUT",0,ImpliedVolatility(LEFT(E430),T430,G430,RISKFREE_RATE,AD430,NIFTY_DIVYLD,W430,$AC$6)))</f>
        <v>0</v>
      </c>
      <c r="AD430" s="115">
        <f t="shared" ref="AD430:AD434" ca="1" si="1775">(H430-TODAY())/365</f>
        <v>-1.1342465753424658</v>
      </c>
      <c r="AE430" s="115">
        <f t="shared" ref="AE430:AE434" si="1776">IF(I430&lt;&gt;0,20,0)</f>
        <v>20</v>
      </c>
      <c r="AF430" s="115"/>
      <c r="AG430" s="115"/>
      <c r="AH430" s="115">
        <f t="shared" si="755"/>
        <v>1.4012500000000001</v>
      </c>
      <c r="AI430" s="115"/>
      <c r="AJ430" s="115">
        <f t="shared" si="756"/>
        <v>0</v>
      </c>
      <c r="AK430" s="115"/>
      <c r="AL430" s="142"/>
      <c r="AM430" s="153"/>
      <c r="AN430" s="153"/>
      <c r="AO430" s="153"/>
      <c r="AP430" s="153"/>
      <c r="AQ430" s="153"/>
      <c r="AR430" s="153"/>
      <c r="AS430" s="153"/>
      <c r="AT430" s="153"/>
      <c r="AU430" s="153"/>
      <c r="AV430" s="153"/>
      <c r="AW430" s="153"/>
      <c r="AX430" s="153"/>
      <c r="AY430" s="153"/>
      <c r="AZ430" s="153"/>
      <c r="BA430" s="153"/>
      <c r="BB430" s="153"/>
      <c r="BC430" s="153"/>
      <c r="BD430" s="153"/>
      <c r="BE430" s="153"/>
      <c r="BF430" s="153"/>
      <c r="BG430" s="153"/>
      <c r="BS430" s="13">
        <v>2</v>
      </c>
      <c r="BT430" s="123">
        <v>44491</v>
      </c>
      <c r="BU430" s="116" t="s">
        <v>8</v>
      </c>
      <c r="BV430" s="115" t="s">
        <v>482</v>
      </c>
      <c r="BW430" s="116" t="s">
        <v>502</v>
      </c>
      <c r="BX430" s="115">
        <v>18400</v>
      </c>
      <c r="BY430" s="115">
        <v>41.7</v>
      </c>
      <c r="BZ430" s="115">
        <v>47.945</v>
      </c>
      <c r="CA430" s="119">
        <v>-3216.6708800000001</v>
      </c>
      <c r="CB430" s="115">
        <v>1.1497601918465228</v>
      </c>
      <c r="CC430" s="115">
        <v>500</v>
      </c>
      <c r="CD430" s="115">
        <v>50</v>
      </c>
      <c r="CE430" s="119">
        <v>20850</v>
      </c>
    </row>
    <row r="431" spans="1:83" hidden="1">
      <c r="A431" s="13">
        <f t="shared" si="753"/>
        <v>424</v>
      </c>
      <c r="B431" s="123">
        <v>44756</v>
      </c>
      <c r="C431" s="116" t="s">
        <v>8</v>
      </c>
      <c r="D431" s="116">
        <v>1</v>
      </c>
      <c r="E431" s="115" t="s">
        <v>482</v>
      </c>
      <c r="F431" s="116" t="s">
        <v>502</v>
      </c>
      <c r="G431" s="115">
        <v>15300</v>
      </c>
      <c r="H431" s="117">
        <v>44770</v>
      </c>
      <c r="I431" s="115">
        <v>50</v>
      </c>
      <c r="J431" s="115">
        <v>44.25</v>
      </c>
      <c r="K431" s="115">
        <v>0</v>
      </c>
      <c r="L431" s="119">
        <f t="shared" ca="1" si="1761"/>
        <v>0</v>
      </c>
      <c r="M431" s="119">
        <f t="shared" si="1762"/>
        <v>0</v>
      </c>
      <c r="N431" s="115">
        <f t="shared" si="1763"/>
        <v>0</v>
      </c>
      <c r="O431" s="156">
        <f t="shared" si="1764"/>
        <v>55.3125</v>
      </c>
      <c r="P431" s="160">
        <f t="shared" si="754"/>
        <v>2212.5</v>
      </c>
      <c r="Q431" s="160">
        <f t="shared" si="1765"/>
        <v>-87.5</v>
      </c>
      <c r="R431" s="153" t="e">
        <f t="shared" ca="1" si="1766"/>
        <v>#VALUE!</v>
      </c>
      <c r="S431" s="119">
        <f t="shared" si="1767"/>
        <v>4.4249999999999989</v>
      </c>
      <c r="T431" s="115" t="str">
        <f>VLOOKUP(TRIM($F431),Reference!B:C,2,0)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31" s="170">
        <f t="shared" ca="1" si="1768"/>
        <v>0</v>
      </c>
      <c r="V431" s="120" t="str">
        <f t="shared" si="1728"/>
        <v>NIFTY22JUL15300PE</v>
      </c>
      <c r="W431" s="158">
        <f>VLOOKUP($V431,Reference!BA:BD,4,0)</f>
        <v>46</v>
      </c>
      <c r="X431" s="160">
        <f t="shared" ca="1" si="1769"/>
        <v>0</v>
      </c>
      <c r="Y431" s="160">
        <f t="shared" ca="1" si="1770"/>
        <v>0</v>
      </c>
      <c r="Z431" s="160">
        <f t="shared" ca="1" si="1771"/>
        <v>0</v>
      </c>
      <c r="AA431" s="160">
        <f t="shared" ca="1" si="1772"/>
        <v>0</v>
      </c>
      <c r="AB431" s="160">
        <f t="shared" ca="1" si="1773"/>
        <v>0</v>
      </c>
      <c r="AC431" s="119">
        <f t="shared" ca="1" si="1774"/>
        <v>0</v>
      </c>
      <c r="AD431" s="115">
        <f t="shared" ca="1" si="1775"/>
        <v>-1.1342465753424658</v>
      </c>
      <c r="AE431" s="115">
        <f t="shared" si="1776"/>
        <v>20</v>
      </c>
      <c r="AF431" s="115"/>
      <c r="AG431" s="115"/>
      <c r="AH431" s="115">
        <f t="shared" si="755"/>
        <v>1.10625</v>
      </c>
      <c r="AI431" s="115"/>
      <c r="AJ431" s="115">
        <f t="shared" si="756"/>
        <v>0</v>
      </c>
      <c r="AK431" s="115"/>
      <c r="AL431" s="142"/>
      <c r="AM431" s="153"/>
      <c r="AN431" s="153"/>
      <c r="AO431" s="153"/>
      <c r="AP431" s="153"/>
      <c r="AQ431" s="153"/>
      <c r="AR431" s="153"/>
      <c r="AS431" s="153"/>
      <c r="AT431" s="153"/>
      <c r="AU431" s="153"/>
      <c r="AV431" s="153"/>
      <c r="AW431" s="153"/>
      <c r="AX431" s="153"/>
      <c r="AY431" s="153"/>
      <c r="AZ431" s="153"/>
      <c r="BA431" s="153"/>
      <c r="BB431" s="153"/>
      <c r="BC431" s="153"/>
      <c r="BD431" s="153"/>
      <c r="BE431" s="153"/>
      <c r="BF431" s="153"/>
      <c r="BG431" s="153"/>
      <c r="BS431" s="13">
        <v>2</v>
      </c>
      <c r="BT431" s="123">
        <v>44491</v>
      </c>
      <c r="BU431" s="116" t="s">
        <v>8</v>
      </c>
      <c r="BV431" s="115" t="s">
        <v>482</v>
      </c>
      <c r="BW431" s="116" t="s">
        <v>502</v>
      </c>
      <c r="BX431" s="115">
        <v>18400</v>
      </c>
      <c r="BY431" s="115">
        <v>41.7</v>
      </c>
      <c r="BZ431" s="115">
        <v>47.945</v>
      </c>
      <c r="CA431" s="119">
        <v>-3216.6708800000001</v>
      </c>
      <c r="CB431" s="115">
        <v>1.1497601918465228</v>
      </c>
      <c r="CC431" s="115">
        <v>500</v>
      </c>
      <c r="CD431" s="115">
        <v>50</v>
      </c>
      <c r="CE431" s="119">
        <v>20850</v>
      </c>
    </row>
    <row r="432" spans="1:83">
      <c r="A432" s="13">
        <f t="shared" si="753"/>
        <v>425</v>
      </c>
      <c r="B432" s="123">
        <v>44757</v>
      </c>
      <c r="C432" s="116" t="s">
        <v>6</v>
      </c>
      <c r="D432" s="116">
        <v>1</v>
      </c>
      <c r="E432" s="115" t="s">
        <v>482</v>
      </c>
      <c r="F432" s="116" t="s">
        <v>104</v>
      </c>
      <c r="G432" s="115">
        <v>2500</v>
      </c>
      <c r="H432" s="117">
        <v>44770</v>
      </c>
      <c r="I432" s="115">
        <v>300</v>
      </c>
      <c r="J432" s="115">
        <v>29.05</v>
      </c>
      <c r="K432" s="115">
        <v>0</v>
      </c>
      <c r="L432" s="119">
        <f t="shared" ca="1" si="1761"/>
        <v>0</v>
      </c>
      <c r="M432" s="119">
        <f t="shared" si="1762"/>
        <v>0</v>
      </c>
      <c r="N432" s="115">
        <f t="shared" si="1763"/>
        <v>0</v>
      </c>
      <c r="O432" s="156">
        <f t="shared" si="1764"/>
        <v>21.787500000000001</v>
      </c>
      <c r="P432" s="160">
        <f t="shared" si="754"/>
        <v>8715</v>
      </c>
      <c r="Q432" s="160" t="e">
        <f t="shared" si="1765"/>
        <v>#N/A</v>
      </c>
      <c r="R432" s="153" t="e">
        <f t="shared" ca="1" si="1766"/>
        <v>#VALUE!</v>
      </c>
      <c r="S432" s="119">
        <f t="shared" si="1767"/>
        <v>2.9049999999999994</v>
      </c>
      <c r="T432" s="115" t="e">
        <f>VLOOKUP(TRIM($F432),Reference!B:C,2,0)</f>
        <v>#VALUE!</v>
      </c>
      <c r="U432" s="170">
        <f t="shared" ca="1" si="1768"/>
        <v>0</v>
      </c>
      <c r="V432" s="120" t="str">
        <f t="shared" ref="V432:V434" si="1777">TRIM(F432)&amp;TEXT(H432,"YY")&amp;UPPER(TEXT(H432,"MMM"))&amp;TRIM(G432)&amp;TRIM(E432)</f>
        <v>HINDUNILVR22JUL2500PE</v>
      </c>
      <c r="W432" s="158" t="e">
        <f>VLOOKUP($V432,Reference!BA:BD,4,0)</f>
        <v>#N/A</v>
      </c>
      <c r="X432" s="160">
        <f t="shared" ca="1" si="1769"/>
        <v>0</v>
      </c>
      <c r="Y432" s="160">
        <f t="shared" ca="1" si="1770"/>
        <v>0</v>
      </c>
      <c r="Z432" s="160">
        <f t="shared" ca="1" si="1771"/>
        <v>0</v>
      </c>
      <c r="AA432" s="160">
        <f t="shared" ca="1" si="1772"/>
        <v>0</v>
      </c>
      <c r="AB432" s="160">
        <f t="shared" ca="1" si="1773"/>
        <v>0</v>
      </c>
      <c r="AC432" s="119">
        <f t="shared" ca="1" si="1774"/>
        <v>0</v>
      </c>
      <c r="AD432" s="115">
        <f t="shared" ca="1" si="1775"/>
        <v>-1.1342465753424658</v>
      </c>
      <c r="AE432" s="115">
        <f t="shared" si="1776"/>
        <v>20</v>
      </c>
      <c r="AF432" s="115"/>
      <c r="AG432" s="115"/>
      <c r="AH432" s="115">
        <f t="shared" si="755"/>
        <v>0</v>
      </c>
      <c r="AI432" s="115"/>
      <c r="AJ432" s="115">
        <f t="shared" si="756"/>
        <v>0.26145000000000002</v>
      </c>
      <c r="AK432" s="115"/>
      <c r="AL432" s="142"/>
      <c r="AM432" s="153"/>
      <c r="AN432" s="153"/>
      <c r="AO432" s="153"/>
      <c r="AP432" s="153"/>
      <c r="AQ432" s="153"/>
      <c r="AR432" s="153"/>
      <c r="AS432" s="153"/>
      <c r="AT432" s="153"/>
      <c r="AU432" s="153"/>
      <c r="AV432" s="153"/>
      <c r="AW432" s="153"/>
      <c r="AX432" s="153"/>
      <c r="AY432" s="153"/>
      <c r="AZ432" s="153"/>
      <c r="BA432" s="153"/>
      <c r="BB432" s="153"/>
      <c r="BC432" s="153"/>
      <c r="BD432" s="153"/>
      <c r="BE432" s="153"/>
      <c r="BF432" s="153"/>
      <c r="BG432" s="153"/>
      <c r="BS432" s="13">
        <v>2</v>
      </c>
      <c r="BT432" s="123">
        <v>44491</v>
      </c>
      <c r="BU432" s="116" t="s">
        <v>8</v>
      </c>
      <c r="BV432" s="115" t="s">
        <v>482</v>
      </c>
      <c r="BW432" s="116" t="s">
        <v>502</v>
      </c>
      <c r="BX432" s="115">
        <v>18400</v>
      </c>
      <c r="BY432" s="115">
        <v>41.7</v>
      </c>
      <c r="BZ432" s="115">
        <v>47.945</v>
      </c>
      <c r="CA432" s="119">
        <v>-3216.6708800000001</v>
      </c>
      <c r="CB432" s="115">
        <v>1.1497601918465228</v>
      </c>
      <c r="CC432" s="115">
        <v>500</v>
      </c>
      <c r="CD432" s="115">
        <v>50</v>
      </c>
      <c r="CE432" s="119">
        <v>20850</v>
      </c>
    </row>
    <row r="433" spans="1:83">
      <c r="A433" s="13">
        <f t="shared" si="753"/>
        <v>426</v>
      </c>
      <c r="B433" s="123">
        <v>44757</v>
      </c>
      <c r="C433" s="116" t="s">
        <v>6</v>
      </c>
      <c r="D433" s="116">
        <v>1</v>
      </c>
      <c r="E433" s="115" t="s">
        <v>482</v>
      </c>
      <c r="F433" s="116" t="s">
        <v>104</v>
      </c>
      <c r="G433" s="115">
        <v>2500</v>
      </c>
      <c r="H433" s="117">
        <v>44770</v>
      </c>
      <c r="I433" s="115">
        <v>300</v>
      </c>
      <c r="J433" s="115">
        <v>28.85</v>
      </c>
      <c r="K433" s="115">
        <v>0</v>
      </c>
      <c r="L433" s="119">
        <f t="shared" ca="1" si="1761"/>
        <v>0</v>
      </c>
      <c r="M433" s="119">
        <f t="shared" si="1762"/>
        <v>0</v>
      </c>
      <c r="N433" s="115">
        <f t="shared" si="1763"/>
        <v>0</v>
      </c>
      <c r="O433" s="156">
        <f t="shared" si="1764"/>
        <v>21.637500000000003</v>
      </c>
      <c r="P433" s="160">
        <f t="shared" si="754"/>
        <v>8655</v>
      </c>
      <c r="Q433" s="160" t="e">
        <f t="shared" si="1765"/>
        <v>#N/A</v>
      </c>
      <c r="R433" s="153" t="e">
        <f t="shared" ca="1" si="1766"/>
        <v>#VALUE!</v>
      </c>
      <c r="S433" s="119">
        <f t="shared" si="1767"/>
        <v>2.8849999999999993</v>
      </c>
      <c r="T433" s="115" t="e">
        <f>VLOOKUP(TRIM($F433),Reference!B:C,2,0)</f>
        <v>#VALUE!</v>
      </c>
      <c r="U433" s="170">
        <f t="shared" ca="1" si="1768"/>
        <v>0</v>
      </c>
      <c r="V433" s="120" t="str">
        <f t="shared" si="1777"/>
        <v>HINDUNILVR22JUL2500PE</v>
      </c>
      <c r="W433" s="158" t="e">
        <f>VLOOKUP($V433,Reference!BA:BD,4,0)</f>
        <v>#N/A</v>
      </c>
      <c r="X433" s="160">
        <f t="shared" ca="1" si="1769"/>
        <v>0</v>
      </c>
      <c r="Y433" s="160">
        <f t="shared" ca="1" si="1770"/>
        <v>0</v>
      </c>
      <c r="Z433" s="160">
        <f t="shared" ca="1" si="1771"/>
        <v>0</v>
      </c>
      <c r="AA433" s="160">
        <f t="shared" ca="1" si="1772"/>
        <v>0</v>
      </c>
      <c r="AB433" s="160">
        <f t="shared" ca="1" si="1773"/>
        <v>0</v>
      </c>
      <c r="AC433" s="119">
        <f t="shared" ca="1" si="1774"/>
        <v>0</v>
      </c>
      <c r="AD433" s="115">
        <f t="shared" ca="1" si="1775"/>
        <v>-1.1342465753424658</v>
      </c>
      <c r="AE433" s="115">
        <f t="shared" si="1776"/>
        <v>20</v>
      </c>
      <c r="AF433" s="115"/>
      <c r="AG433" s="115"/>
      <c r="AH433" s="115">
        <f t="shared" si="755"/>
        <v>0</v>
      </c>
      <c r="AI433" s="115"/>
      <c r="AJ433" s="115">
        <f t="shared" si="756"/>
        <v>0.25964999999999999</v>
      </c>
      <c r="AK433" s="115"/>
      <c r="AL433" s="142"/>
      <c r="AM433" s="153"/>
      <c r="AN433" s="153"/>
      <c r="AO433" s="153"/>
      <c r="AP433" s="153"/>
      <c r="AQ433" s="153"/>
      <c r="AR433" s="153"/>
      <c r="AS433" s="153"/>
      <c r="AT433" s="153"/>
      <c r="AU433" s="153"/>
      <c r="AV433" s="153"/>
      <c r="AW433" s="153"/>
      <c r="AX433" s="153"/>
      <c r="AY433" s="153"/>
      <c r="AZ433" s="153"/>
      <c r="BA433" s="153"/>
      <c r="BB433" s="153"/>
      <c r="BC433" s="153"/>
      <c r="BD433" s="153"/>
      <c r="BE433" s="153"/>
      <c r="BF433" s="153"/>
      <c r="BG433" s="153"/>
      <c r="BS433" s="13">
        <v>2</v>
      </c>
      <c r="BT433" s="123">
        <v>44491</v>
      </c>
      <c r="BU433" s="116" t="s">
        <v>8</v>
      </c>
      <c r="BV433" s="115" t="s">
        <v>482</v>
      </c>
      <c r="BW433" s="116" t="s">
        <v>502</v>
      </c>
      <c r="BX433" s="115">
        <v>18400</v>
      </c>
      <c r="BY433" s="115">
        <v>41.7</v>
      </c>
      <c r="BZ433" s="115">
        <v>47.945</v>
      </c>
      <c r="CA433" s="119">
        <v>-3216.6708800000001</v>
      </c>
      <c r="CB433" s="115">
        <v>1.1497601918465228</v>
      </c>
      <c r="CC433" s="115">
        <v>500</v>
      </c>
      <c r="CD433" s="115">
        <v>50</v>
      </c>
      <c r="CE433" s="119">
        <v>20850</v>
      </c>
    </row>
    <row r="434" spans="1:83">
      <c r="A434" s="13">
        <f t="shared" si="753"/>
        <v>427</v>
      </c>
      <c r="B434" s="123">
        <v>44757</v>
      </c>
      <c r="C434" s="116" t="s">
        <v>6</v>
      </c>
      <c r="D434" s="116">
        <v>1</v>
      </c>
      <c r="E434" s="115" t="s">
        <v>632</v>
      </c>
      <c r="F434" s="116" t="s">
        <v>104</v>
      </c>
      <c r="G434" s="115" t="s">
        <v>568</v>
      </c>
      <c r="H434" s="117">
        <v>44798</v>
      </c>
      <c r="I434" s="115">
        <v>300</v>
      </c>
      <c r="J434" s="115">
        <v>2523</v>
      </c>
      <c r="K434" s="115">
        <v>0</v>
      </c>
      <c r="L434" s="119">
        <f t="shared" ca="1" si="1761"/>
        <v>0</v>
      </c>
      <c r="M434" s="119">
        <f t="shared" si="1762"/>
        <v>0</v>
      </c>
      <c r="N434" s="115">
        <f t="shared" si="1763"/>
        <v>0</v>
      </c>
      <c r="O434" s="156">
        <f t="shared" si="1764"/>
        <v>1892.25</v>
      </c>
      <c r="P434" s="160">
        <f t="shared" si="754"/>
        <v>756900</v>
      </c>
      <c r="Q434" s="160">
        <f t="shared" si="1765"/>
        <v>-3645.0000000000273</v>
      </c>
      <c r="R434" s="153" t="e">
        <f t="shared" ca="1" si="1766"/>
        <v>#VALUE!</v>
      </c>
      <c r="S434" s="119">
        <f t="shared" si="1767"/>
        <v>252.29999999999995</v>
      </c>
      <c r="T434" s="115" t="e">
        <f>VLOOKUP(TRIM($F434),Reference!B:C,2,0)</f>
        <v>#VALUE!</v>
      </c>
      <c r="U434" s="170">
        <f t="shared" ca="1" si="1768"/>
        <v>0</v>
      </c>
      <c r="V434" s="120" t="str">
        <f t="shared" si="1777"/>
        <v>HINDUNILVR22AUGFUT</v>
      </c>
      <c r="W434" s="158">
        <f>VLOOKUP($V434,Reference!BA:BD,4,0)</f>
        <v>2510.85</v>
      </c>
      <c r="X434" s="160">
        <f t="shared" ca="1" si="1769"/>
        <v>0</v>
      </c>
      <c r="Y434" s="160">
        <f t="shared" ca="1" si="1770"/>
        <v>0</v>
      </c>
      <c r="Z434" s="160">
        <f t="shared" ca="1" si="1771"/>
        <v>0</v>
      </c>
      <c r="AA434" s="160">
        <f t="shared" ca="1" si="1772"/>
        <v>0</v>
      </c>
      <c r="AB434" s="160">
        <f t="shared" ca="1" si="1773"/>
        <v>0</v>
      </c>
      <c r="AC434" s="119">
        <f t="shared" ca="1" si="1774"/>
        <v>0</v>
      </c>
      <c r="AD434" s="115">
        <f t="shared" ca="1" si="1775"/>
        <v>-1.0575342465753426</v>
      </c>
      <c r="AE434" s="115">
        <f t="shared" si="1776"/>
        <v>20</v>
      </c>
      <c r="AF434" s="115"/>
      <c r="AG434" s="115"/>
      <c r="AH434" s="115">
        <f t="shared" si="755"/>
        <v>0</v>
      </c>
      <c r="AI434" s="115"/>
      <c r="AJ434" s="115">
        <f t="shared" si="756"/>
        <v>22.707000000000001</v>
      </c>
      <c r="AK434" s="115"/>
      <c r="AL434" s="142"/>
      <c r="AM434" s="153"/>
      <c r="AN434" s="153"/>
      <c r="AO434" s="153"/>
      <c r="AP434" s="153"/>
      <c r="AQ434" s="153"/>
      <c r="AR434" s="153"/>
      <c r="AS434" s="153"/>
      <c r="AT434" s="153"/>
      <c r="AU434" s="153"/>
      <c r="AV434" s="153"/>
      <c r="AW434" s="153"/>
      <c r="AX434" s="153"/>
      <c r="AY434" s="153"/>
      <c r="AZ434" s="153"/>
      <c r="BA434" s="153"/>
      <c r="BB434" s="153"/>
      <c r="BC434" s="153"/>
      <c r="BD434" s="153"/>
      <c r="BE434" s="153"/>
      <c r="BF434" s="153"/>
      <c r="BG434" s="153"/>
      <c r="BS434" s="13">
        <v>2</v>
      </c>
      <c r="BT434" s="123">
        <v>44491</v>
      </c>
      <c r="BU434" s="116" t="s">
        <v>8</v>
      </c>
      <c r="BV434" s="115" t="s">
        <v>482</v>
      </c>
      <c r="BW434" s="116" t="s">
        <v>502</v>
      </c>
      <c r="BX434" s="115">
        <v>18400</v>
      </c>
      <c r="BY434" s="115">
        <v>41.7</v>
      </c>
      <c r="BZ434" s="115">
        <v>47.945</v>
      </c>
      <c r="CA434" s="119">
        <v>-3216.6708800000001</v>
      </c>
      <c r="CB434" s="115">
        <v>1.1497601918465228</v>
      </c>
      <c r="CC434" s="115">
        <v>500</v>
      </c>
      <c r="CD434" s="115">
        <v>50</v>
      </c>
      <c r="CE434" s="119">
        <v>20850</v>
      </c>
    </row>
  </sheetData>
  <autoFilter ref="A7:BG434" xr:uid="{00000000-0009-0000-0000-000008000000}">
    <filterColumn colId="5">
      <filters>
        <filter val="HINDUNILVR"/>
      </filters>
    </filterColumn>
  </autoFilter>
  <sortState xmlns:xlrd2="http://schemas.microsoft.com/office/spreadsheetml/2017/richdata2" ref="B8:AI147">
    <sortCondition descending="1" ref="K8:K147"/>
    <sortCondition ref="B8:B147"/>
    <sortCondition ref="E8:E147"/>
    <sortCondition ref="G8:G147"/>
  </sortState>
  <mergeCells count="6">
    <mergeCell ref="E2:F2"/>
    <mergeCell ref="E3:F3"/>
    <mergeCell ref="H2:I2"/>
    <mergeCell ref="H3:I3"/>
    <mergeCell ref="J2:K2"/>
    <mergeCell ref="J3:K3"/>
  </mergeCells>
  <conditionalFormatting sqref="E3">
    <cfRule type="cellIs" dxfId="27" priority="19" operator="lessThan">
      <formula>0</formula>
    </cfRule>
    <cfRule type="cellIs" dxfId="26" priority="20" operator="greaterThan">
      <formula>0</formula>
    </cfRule>
  </conditionalFormatting>
  <conditionalFormatting sqref="H3">
    <cfRule type="cellIs" dxfId="25" priority="15" operator="lessThan">
      <formula>0</formula>
    </cfRule>
    <cfRule type="cellIs" dxfId="24" priority="16" operator="greaterThan">
      <formula>0</formula>
    </cfRule>
  </conditionalFormatting>
  <conditionalFormatting sqref="J3">
    <cfRule type="cellIs" dxfId="23" priority="13" operator="lessThan">
      <formula>0</formula>
    </cfRule>
    <cfRule type="cellIs" dxfId="22" priority="14" operator="greaterThan">
      <formula>0</formula>
    </cfRule>
  </conditionalFormatting>
  <conditionalFormatting sqref="L3:M3">
    <cfRule type="cellIs" dxfId="21" priority="11" operator="lessThan">
      <formula>0</formula>
    </cfRule>
    <cfRule type="cellIs" dxfId="20" priority="12" operator="greaterThan">
      <formula>0</formula>
    </cfRule>
  </conditionalFormatting>
  <conditionalFormatting sqref="O3">
    <cfRule type="cellIs" dxfId="19" priority="9" operator="lessThan">
      <formula>0</formula>
    </cfRule>
    <cfRule type="cellIs" dxfId="18" priority="10" operator="greaterThan">
      <formula>0</formula>
    </cfRule>
  </conditionalFormatting>
  <conditionalFormatting sqref="G3">
    <cfRule type="cellIs" dxfId="17" priority="5" operator="lessThan">
      <formula>0</formula>
    </cfRule>
    <cfRule type="cellIs" dxfId="16" priority="6" operator="greaterThan">
      <formula>0</formula>
    </cfRule>
  </conditionalFormatting>
  <conditionalFormatting sqref="P3">
    <cfRule type="cellIs" dxfId="15" priority="3" operator="lessThan">
      <formula>0</formula>
    </cfRule>
    <cfRule type="cellIs" dxfId="14" priority="4" operator="greaterThan">
      <formula>0</formula>
    </cfRule>
  </conditionalFormatting>
  <conditionalFormatting sqref="S3:AF3">
    <cfRule type="cellIs" dxfId="13" priority="1" operator="lessThan">
      <formula>0</formula>
    </cfRule>
    <cfRule type="cellIs" dxfId="12" priority="2" operator="greaterThan">
      <formula>0</formula>
    </cfRule>
  </conditionalFormatting>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0"/>
  <dimension ref="A1:DV123"/>
  <sheetViews>
    <sheetView topLeftCell="AG1" zoomScale="85" zoomScaleNormal="85" workbookViewId="0">
      <selection activeCell="AG1" sqref="AG1"/>
    </sheetView>
  </sheetViews>
  <sheetFormatPr defaultRowHeight="15"/>
  <cols>
    <col min="1" max="1" width="24" bestFit="1" customWidth="1"/>
    <col min="2" max="2" width="12.7109375" bestFit="1" customWidth="1"/>
    <col min="7" max="8" width="10.7109375" style="33" bestFit="1" customWidth="1"/>
    <col min="10" max="10" width="15.42578125" bestFit="1" customWidth="1"/>
    <col min="11" max="11" width="13.5703125" style="33" bestFit="1" customWidth="1"/>
    <col min="14" max="14" width="10" customWidth="1"/>
    <col min="15" max="15" width="14.42578125" style="33" bestFit="1" customWidth="1"/>
    <col min="16" max="16" width="12.7109375" style="33" customWidth="1"/>
    <col min="17" max="17" width="15.42578125" style="33" bestFit="1" customWidth="1"/>
    <col min="18" max="18" width="15.42578125" style="33" customWidth="1"/>
    <col min="19" max="19" width="18.5703125" style="33" customWidth="1"/>
    <col min="20" max="33" width="16.42578125" style="33" bestFit="1" customWidth="1"/>
    <col min="34" max="34" width="9.85546875" bestFit="1" customWidth="1"/>
    <col min="35" max="35" width="9.140625" style="34"/>
    <col min="37" max="37" width="10" bestFit="1" customWidth="1"/>
    <col min="38" max="38" width="10.28515625" bestFit="1" customWidth="1"/>
    <col min="39" max="39" width="12.7109375" style="33" bestFit="1" customWidth="1"/>
    <col min="40" max="40" width="9.28515625" style="132" bestFit="1" customWidth="1"/>
    <col min="41" max="41" width="9.28515625" style="33" bestFit="1" customWidth="1"/>
    <col min="42" max="42" width="10.28515625" bestFit="1" customWidth="1"/>
    <col min="43" max="43" width="9.140625" style="33"/>
    <col min="45" max="45" width="9.28515625" style="133" bestFit="1" customWidth="1"/>
    <col min="46" max="46" width="9.28515625" style="33" bestFit="1" customWidth="1"/>
    <col min="47" max="47" width="12.7109375" style="33" bestFit="1" customWidth="1"/>
    <col min="48" max="50" width="9.28515625" style="33" bestFit="1" customWidth="1"/>
    <col min="53" max="53" width="13.5703125" bestFit="1" customWidth="1"/>
    <col min="54" max="54" width="16.140625" bestFit="1" customWidth="1"/>
    <col min="55" max="55" width="11.7109375" bestFit="1" customWidth="1"/>
    <col min="56" max="59" width="12.42578125" bestFit="1" customWidth="1"/>
    <col min="60" max="60" width="13.5703125" bestFit="1" customWidth="1"/>
    <col min="61" max="66" width="12.42578125" bestFit="1" customWidth="1"/>
    <col min="67" max="69" width="13.5703125" bestFit="1" customWidth="1"/>
    <col min="70" max="72" width="12.42578125" bestFit="1" customWidth="1"/>
    <col min="73" max="73" width="12.28515625" bestFit="1" customWidth="1"/>
    <col min="74" max="74" width="10.28515625" bestFit="1" customWidth="1"/>
    <col min="76" max="76" width="14.42578125" bestFit="1" customWidth="1"/>
    <col min="77" max="77" width="16.140625" bestFit="1" customWidth="1"/>
    <col min="78" max="78" width="14.42578125" bestFit="1" customWidth="1"/>
    <col min="79" max="81" width="13.5703125" bestFit="1" customWidth="1"/>
    <col min="82" max="95" width="12.42578125" bestFit="1" customWidth="1"/>
    <col min="96" max="96" width="11.7109375" bestFit="1" customWidth="1"/>
    <col min="97" max="105" width="16.140625" bestFit="1" customWidth="1"/>
    <col min="106" max="107" width="16.140625" style="33" bestFit="1" customWidth="1"/>
    <col min="108" max="126" width="16.140625" bestFit="1" customWidth="1"/>
  </cols>
  <sheetData>
    <row r="1" spans="1:126" ht="30">
      <c r="D1" s="74" t="s">
        <v>509</v>
      </c>
      <c r="E1" s="75" t="s">
        <v>510</v>
      </c>
      <c r="F1" s="75" t="s">
        <v>511</v>
      </c>
      <c r="G1" s="76" t="s">
        <v>530</v>
      </c>
      <c r="H1" s="76" t="s">
        <v>512</v>
      </c>
      <c r="I1" s="75" t="s">
        <v>513</v>
      </c>
      <c r="J1" s="75" t="s">
        <v>117</v>
      </c>
      <c r="K1" s="76" t="s">
        <v>514</v>
      </c>
      <c r="L1" s="75" t="s">
        <v>118</v>
      </c>
      <c r="M1" s="75" t="s">
        <v>120</v>
      </c>
      <c r="N1" s="75" t="s">
        <v>515</v>
      </c>
      <c r="O1" s="76" t="s">
        <v>516</v>
      </c>
      <c r="P1" s="76" t="s">
        <v>517</v>
      </c>
      <c r="Q1" s="76" t="s">
        <v>518</v>
      </c>
      <c r="R1" s="76"/>
      <c r="S1" s="70" t="s">
        <v>529</v>
      </c>
      <c r="T1" s="71">
        <v>0.09</v>
      </c>
      <c r="U1" s="71">
        <f>T1-0.5%</f>
        <v>8.4999999999999992E-2</v>
      </c>
      <c r="V1" s="71">
        <f t="shared" ref="V1:AG1" si="0">U1-0.5%</f>
        <v>7.9999999999999988E-2</v>
      </c>
      <c r="W1" s="71">
        <f t="shared" si="0"/>
        <v>7.4999999999999983E-2</v>
      </c>
      <c r="X1" s="71">
        <f t="shared" si="0"/>
        <v>6.9999999999999979E-2</v>
      </c>
      <c r="Y1" s="71">
        <f t="shared" si="0"/>
        <v>6.4999999999999974E-2</v>
      </c>
      <c r="Z1" s="71">
        <f t="shared" si="0"/>
        <v>5.9999999999999977E-2</v>
      </c>
      <c r="AA1" s="71">
        <f t="shared" si="0"/>
        <v>5.4999999999999979E-2</v>
      </c>
      <c r="AB1" s="71">
        <f t="shared" si="0"/>
        <v>4.9999999999999982E-2</v>
      </c>
      <c r="AC1" s="71">
        <f t="shared" si="0"/>
        <v>4.4999999999999984E-2</v>
      </c>
      <c r="AD1" s="71">
        <f t="shared" si="0"/>
        <v>3.9999999999999987E-2</v>
      </c>
      <c r="AE1" s="71">
        <f t="shared" si="0"/>
        <v>3.4999999999999989E-2</v>
      </c>
      <c r="AF1" s="71">
        <f t="shared" si="0"/>
        <v>2.9999999999999988E-2</v>
      </c>
      <c r="AG1" s="71">
        <f t="shared" si="0"/>
        <v>2.4999999999999988E-2</v>
      </c>
      <c r="AH1" s="63"/>
      <c r="AI1" s="34" t="s">
        <v>519</v>
      </c>
      <c r="AJ1" t="s">
        <v>520</v>
      </c>
      <c r="AK1" s="131" t="s">
        <v>78</v>
      </c>
      <c r="AL1" s="131" t="s">
        <v>22</v>
      </c>
      <c r="AM1" s="131" t="s">
        <v>68</v>
      </c>
      <c r="AN1" s="131" t="s">
        <v>69</v>
      </c>
      <c r="AO1" s="131" t="s">
        <v>70</v>
      </c>
      <c r="AP1" s="131" t="s">
        <v>22</v>
      </c>
      <c r="AQ1" s="131" t="s">
        <v>71</v>
      </c>
      <c r="AR1" s="131" t="s">
        <v>521</v>
      </c>
      <c r="AS1" s="131" t="s">
        <v>72</v>
      </c>
      <c r="AT1" s="131" t="s">
        <v>73</v>
      </c>
      <c r="AU1" s="131" t="s">
        <v>74</v>
      </c>
      <c r="AV1" s="131" t="s">
        <v>75</v>
      </c>
      <c r="AW1" s="131" t="s">
        <v>76</v>
      </c>
      <c r="AX1" s="131" t="s">
        <v>77</v>
      </c>
      <c r="AZ1" s="131" t="s">
        <v>22</v>
      </c>
      <c r="BA1" s="131" t="s">
        <v>562</v>
      </c>
      <c r="BB1" s="135">
        <f>AVERAGE(BC2:BU2)-2000</f>
        <v>15885.714285714286</v>
      </c>
      <c r="BC1" s="131" t="s">
        <v>588</v>
      </c>
      <c r="BD1" s="131" t="s">
        <v>589</v>
      </c>
      <c r="BE1" s="131" t="s">
        <v>590</v>
      </c>
      <c r="BF1" s="131" t="s">
        <v>591</v>
      </c>
      <c r="BG1" s="131" t="s">
        <v>592</v>
      </c>
      <c r="BH1" s="131" t="s">
        <v>593</v>
      </c>
      <c r="BI1" s="131" t="s">
        <v>594</v>
      </c>
      <c r="BJ1" s="131" t="s">
        <v>590</v>
      </c>
      <c r="BK1" s="131" t="s">
        <v>591</v>
      </c>
      <c r="BL1" s="131" t="s">
        <v>592</v>
      </c>
      <c r="BM1" s="131" t="s">
        <v>593</v>
      </c>
      <c r="BN1" s="131" t="s">
        <v>594</v>
      </c>
      <c r="BO1" s="131" t="s">
        <v>596</v>
      </c>
      <c r="BP1" s="131" t="s">
        <v>597</v>
      </c>
      <c r="BQ1" s="131" t="s">
        <v>598</v>
      </c>
      <c r="BR1" s="131" t="s">
        <v>599</v>
      </c>
      <c r="BS1" s="131" t="s">
        <v>600</v>
      </c>
      <c r="BT1" s="131" t="s">
        <v>601</v>
      </c>
      <c r="BU1" s="131" t="s">
        <v>595</v>
      </c>
      <c r="BW1" s="131" t="s">
        <v>22</v>
      </c>
      <c r="BX1" s="131" t="s">
        <v>562</v>
      </c>
      <c r="BY1" s="135">
        <f>AVERAGE(BZ2:CR2)</f>
        <v>40971.428571428572</v>
      </c>
      <c r="BZ1" s="131" t="s">
        <v>588</v>
      </c>
      <c r="CA1" s="131" t="s">
        <v>589</v>
      </c>
      <c r="CB1" s="131" t="s">
        <v>590</v>
      </c>
      <c r="CC1" s="131" t="s">
        <v>591</v>
      </c>
      <c r="CD1" s="131" t="s">
        <v>592</v>
      </c>
      <c r="CE1" s="131" t="s">
        <v>593</v>
      </c>
      <c r="CF1" s="131" t="s">
        <v>594</v>
      </c>
      <c r="CG1" s="131" t="s">
        <v>590</v>
      </c>
      <c r="CH1" s="131" t="s">
        <v>591</v>
      </c>
      <c r="CI1" s="131" t="s">
        <v>592</v>
      </c>
      <c r="CJ1" s="131" t="s">
        <v>593</v>
      </c>
      <c r="CK1" s="131" t="s">
        <v>594</v>
      </c>
      <c r="CL1" s="131" t="s">
        <v>596</v>
      </c>
      <c r="CM1" s="131" t="s">
        <v>597</v>
      </c>
      <c r="CN1" s="131" t="s">
        <v>598</v>
      </c>
      <c r="CO1" s="131" t="s">
        <v>599</v>
      </c>
      <c r="CP1" s="131" t="s">
        <v>600</v>
      </c>
      <c r="CQ1" s="131" t="s">
        <v>601</v>
      </c>
      <c r="CR1" s="131" t="s">
        <v>595</v>
      </c>
      <c r="CS1" s="135"/>
      <c r="CT1" s="135"/>
      <c r="CU1" s="135"/>
      <c r="CV1" s="135"/>
      <c r="CW1" s="135"/>
      <c r="CX1" s="135"/>
      <c r="CY1" s="135"/>
      <c r="CZ1" s="135"/>
      <c r="DA1" s="135"/>
      <c r="DB1" s="135"/>
      <c r="DC1" s="135"/>
      <c r="DD1" s="135"/>
      <c r="DE1" s="135"/>
      <c r="DF1" s="135"/>
      <c r="DG1" s="135"/>
      <c r="DH1" s="135"/>
      <c r="DI1" s="135"/>
      <c r="DJ1" s="135"/>
      <c r="DK1" s="135"/>
      <c r="DL1" s="135"/>
      <c r="DM1" s="135"/>
      <c r="DN1" s="135"/>
      <c r="DO1" s="135"/>
      <c r="DP1" s="135"/>
      <c r="DQ1" s="135"/>
      <c r="DR1" s="135"/>
      <c r="DS1" s="135"/>
      <c r="DT1" s="135"/>
      <c r="DU1" s="135"/>
      <c r="DV1" s="135"/>
    </row>
    <row r="2" spans="1:126">
      <c r="A2" s="48" t="s">
        <v>522</v>
      </c>
      <c r="B2" s="48" t="str">
        <f>mrigxl_getIndexQuote("NIFTY 50")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2">
        <v>1</v>
      </c>
      <c r="E2">
        <f ca="1">OFFSET($AP$2,COUNTIF($AJ$3:$AJ$59,TRUE),0)</f>
        <v>16200</v>
      </c>
      <c r="F2" t="e">
        <f t="shared" ref="F2" si="1">IF(AJ2,AP2)</f>
        <v>#VALUE!</v>
      </c>
      <c r="G2" s="33" t="e">
        <f ca="1">50*(VLOOKUP($E2,$AP:$AS,4,0)-VLOOKUP($F2,$AP:$AS,4,0))*IF(AU2&gt;0,1,0)</f>
        <v>#VALUE!</v>
      </c>
      <c r="H2" s="33" t="e">
        <f t="shared" ref="H2" ca="1" si="2">50*(F2-E2)+G2</f>
        <v>#VALUE!</v>
      </c>
      <c r="I2" s="34" t="e">
        <f t="shared" ref="I2" ca="1" si="3">ABS(G2/H2)</f>
        <v>#VALUE!</v>
      </c>
      <c r="J2" s="129" t="e">
        <f ca="1">MAX(60000,G2*12)</f>
        <v>#VALUE!</v>
      </c>
      <c r="K2" s="33">
        <f ca="1">IFERROR(VLOOKUP($B$6&amp;E2&amp;F2,#REF!,6,0),0)</f>
        <v>0</v>
      </c>
      <c r="L2" s="34" t="e">
        <f t="shared" ref="L2" ca="1" si="4">G2/J2</f>
        <v>#VALUE!</v>
      </c>
      <c r="M2" s="34" t="e">
        <f t="shared" ref="M2" ca="1" si="5">L2/YEARFRAC(TODAY(),$B$6)</f>
        <v>#VALUE!</v>
      </c>
      <c r="N2" t="e">
        <f ca="1">IFERROR(INT($B$3/G2),INT($B$3/K2))</f>
        <v>#DIV/0!</v>
      </c>
      <c r="O2" s="33" t="e">
        <f t="shared" ref="O2" ca="1" si="6">N2*J2</f>
        <v>#DIV/0!</v>
      </c>
      <c r="P2" s="33" t="e">
        <f ca="1">N2*MAX(G2,K2)</f>
        <v>#DIV/0!</v>
      </c>
      <c r="Q2" s="33" t="e">
        <f t="shared" ref="Q2" ca="1" si="7">H2*N2</f>
        <v>#VALUE!</v>
      </c>
      <c r="R2" s="113" t="e">
        <f ca="1">(O2-$O$2)/($Q$2-Q2)</f>
        <v>#DIV/0!</v>
      </c>
      <c r="S2" s="68"/>
      <c r="T2" s="68" t="e">
        <f t="shared" ref="T2:AG2" ca="1" si="8">$N2*50*(-MAX($E2-$B$2*(1-T$1),0)+MAX($F2-$B$2*(1-T$1),0))+$P2</f>
        <v>#DIV/0!</v>
      </c>
      <c r="U2" s="68" t="e">
        <f t="shared" ca="1" si="8"/>
        <v>#DIV/0!</v>
      </c>
      <c r="V2" s="68" t="e">
        <f t="shared" ca="1" si="8"/>
        <v>#DIV/0!</v>
      </c>
      <c r="W2" s="68" t="e">
        <f t="shared" ca="1" si="8"/>
        <v>#DIV/0!</v>
      </c>
      <c r="X2" s="68" t="e">
        <f t="shared" ca="1" si="8"/>
        <v>#DIV/0!</v>
      </c>
      <c r="Y2" s="68" t="e">
        <f t="shared" ca="1" si="8"/>
        <v>#DIV/0!</v>
      </c>
      <c r="Z2" s="68" t="e">
        <f t="shared" ca="1" si="8"/>
        <v>#DIV/0!</v>
      </c>
      <c r="AA2" s="68" t="e">
        <f t="shared" ca="1" si="8"/>
        <v>#DIV/0!</v>
      </c>
      <c r="AB2" s="68" t="e">
        <f t="shared" ca="1" si="8"/>
        <v>#DIV/0!</v>
      </c>
      <c r="AC2" s="68" t="e">
        <f t="shared" ca="1" si="8"/>
        <v>#DIV/0!</v>
      </c>
      <c r="AD2" s="68" t="e">
        <f t="shared" ca="1" si="8"/>
        <v>#DIV/0!</v>
      </c>
      <c r="AE2" s="68" t="e">
        <f t="shared" ca="1" si="8"/>
        <v>#DIV/0!</v>
      </c>
      <c r="AF2" s="68" t="e">
        <f t="shared" ca="1" si="8"/>
        <v>#DIV/0!</v>
      </c>
      <c r="AG2" s="68" t="e">
        <f t="shared" ca="1" si="8"/>
        <v>#DIV/0!</v>
      </c>
      <c r="AI2" s="34" t="e">
        <f>AP2/$B$2</f>
        <v>#VALUE!</v>
      </c>
      <c r="AJ2" t="e">
        <f t="shared" ref="AJ2:AJ62" si="9">AI2&lt;$B$5</f>
        <v>#VALUE!</v>
      </c>
      <c r="AK2" s="151">
        <v>44616</v>
      </c>
      <c r="AL2" s="134">
        <f>AP2</f>
        <v>16200</v>
      </c>
      <c r="AM2" s="33">
        <v>1850</v>
      </c>
      <c r="AN2" s="132">
        <v>1477.9</v>
      </c>
      <c r="AO2" s="33">
        <v>0.92</v>
      </c>
      <c r="AP2" s="134">
        <v>16200</v>
      </c>
      <c r="AQ2" s="33">
        <v>21.12</v>
      </c>
      <c r="AR2" t="s">
        <v>502</v>
      </c>
      <c r="AS2" s="133">
        <v>42.95</v>
      </c>
      <c r="AT2" s="33">
        <v>-0.08</v>
      </c>
      <c r="AU2" s="33">
        <v>285500</v>
      </c>
      <c r="AV2" s="33">
        <v>-2.5099999999999998</v>
      </c>
      <c r="AW2" s="33">
        <v>8.09</v>
      </c>
      <c r="AX2" s="33">
        <v>1.2999999999999999E-4</v>
      </c>
      <c r="AZ2" s="33">
        <v>100</v>
      </c>
      <c r="BA2" s="33" t="s">
        <v>563</v>
      </c>
      <c r="BB2" s="33"/>
      <c r="BC2" s="129"/>
      <c r="BD2" s="129"/>
      <c r="BE2" s="129"/>
      <c r="BF2" s="129"/>
      <c r="BG2" s="129">
        <v>15800</v>
      </c>
      <c r="BH2" s="129">
        <v>16000</v>
      </c>
      <c r="BI2" s="129">
        <v>17500</v>
      </c>
      <c r="BJ2" s="129"/>
      <c r="BK2" s="129"/>
      <c r="BL2" s="129"/>
      <c r="BM2" s="129"/>
      <c r="BN2" s="129"/>
      <c r="BO2" s="129"/>
      <c r="BP2" s="129">
        <v>18000</v>
      </c>
      <c r="BQ2" s="129">
        <v>19200</v>
      </c>
      <c r="BR2" s="129">
        <v>19200</v>
      </c>
      <c r="BS2" s="129"/>
      <c r="BT2" s="129"/>
      <c r="BU2" s="129">
        <v>19500</v>
      </c>
      <c r="BW2" s="33">
        <v>50</v>
      </c>
      <c r="BX2" s="33" t="s">
        <v>563</v>
      </c>
      <c r="BY2" s="33"/>
      <c r="BZ2" s="129">
        <v>37400</v>
      </c>
      <c r="CA2" s="129">
        <v>39200</v>
      </c>
      <c r="CB2" s="129">
        <v>39500</v>
      </c>
      <c r="CC2" s="129">
        <v>39200</v>
      </c>
      <c r="CD2" s="129"/>
      <c r="CE2" s="129"/>
      <c r="CF2" s="129"/>
      <c r="CG2" s="129"/>
      <c r="CH2" s="129"/>
      <c r="CI2" s="129"/>
      <c r="CJ2" s="129"/>
      <c r="CK2" s="129"/>
      <c r="CL2" s="33">
        <v>43500</v>
      </c>
      <c r="CM2" s="129">
        <v>43700</v>
      </c>
      <c r="CN2" s="129"/>
      <c r="CO2" s="129"/>
      <c r="CP2" s="129"/>
      <c r="CQ2" s="129"/>
      <c r="CR2" s="129">
        <v>44300</v>
      </c>
      <c r="CS2" s="33"/>
      <c r="CT2" s="33"/>
      <c r="CU2" s="33"/>
      <c r="CV2" s="33"/>
      <c r="CW2" s="33"/>
      <c r="CX2" s="33"/>
      <c r="CY2" s="33"/>
      <c r="CZ2" s="33"/>
      <c r="DA2" s="33"/>
      <c r="DD2" s="33"/>
      <c r="DE2" s="33"/>
      <c r="DF2" s="33"/>
      <c r="DG2" s="33"/>
      <c r="DH2" s="33"/>
      <c r="DI2" s="33"/>
      <c r="DJ2" s="33"/>
      <c r="DK2" s="33"/>
      <c r="DL2" s="33"/>
      <c r="DM2" s="33"/>
      <c r="DN2" s="33"/>
      <c r="DO2" s="33"/>
      <c r="DP2" s="33"/>
      <c r="DQ2" s="33"/>
      <c r="DR2" s="33"/>
      <c r="DS2" s="33"/>
      <c r="DT2" s="33"/>
      <c r="DU2" s="33"/>
      <c r="DV2" s="33"/>
    </row>
    <row r="3" spans="1:126">
      <c r="A3" s="48" t="s">
        <v>523</v>
      </c>
      <c r="B3" s="112">
        <v>20000</v>
      </c>
      <c r="I3" s="34"/>
      <c r="J3" s="129"/>
      <c r="L3" s="34"/>
      <c r="M3" s="34"/>
      <c r="S3" s="68"/>
      <c r="T3" s="68"/>
      <c r="U3" s="68"/>
      <c r="V3" s="68"/>
      <c r="W3" s="68"/>
      <c r="X3" s="68"/>
      <c r="Y3" s="68"/>
      <c r="Z3" s="68"/>
      <c r="AA3" s="68"/>
      <c r="AB3" s="68"/>
      <c r="AC3" s="68"/>
      <c r="AD3" s="68"/>
      <c r="AE3" s="68"/>
      <c r="AF3" s="68"/>
      <c r="AG3" s="68"/>
      <c r="AI3" s="34" t="e">
        <f t="shared" ref="AI3:AI62" si="10">AP3/$B$2</f>
        <v>#VALUE!</v>
      </c>
      <c r="AJ3" t="e">
        <f t="shared" si="9"/>
        <v>#VALUE!</v>
      </c>
      <c r="AK3" s="151">
        <v>44616</v>
      </c>
      <c r="AL3" s="134">
        <f t="shared" ref="AL3:AL63" si="11">AP3</f>
        <v>16250</v>
      </c>
      <c r="AM3" s="33">
        <v>0</v>
      </c>
      <c r="AN3" s="132">
        <v>0</v>
      </c>
      <c r="AO3" s="33">
        <v>0.92</v>
      </c>
      <c r="AP3" s="134">
        <v>16250</v>
      </c>
      <c r="AQ3" s="33">
        <v>20.76</v>
      </c>
      <c r="AR3" t="s">
        <v>502</v>
      </c>
      <c r="AS3" s="133">
        <v>44.65</v>
      </c>
      <c r="AT3" s="33">
        <v>-0.08</v>
      </c>
      <c r="AU3" s="33">
        <v>6400</v>
      </c>
      <c r="AV3" s="33">
        <v>-2.56</v>
      </c>
      <c r="AW3" s="33">
        <v>8.3800000000000008</v>
      </c>
      <c r="AX3" s="33">
        <v>1.3999999999999999E-4</v>
      </c>
      <c r="AZ3" s="33" t="s">
        <v>603</v>
      </c>
      <c r="BA3" s="33"/>
      <c r="BB3" s="33"/>
      <c r="BC3" s="129">
        <f>VLOOKUP(BC2,$AL:$AS,8,0)</f>
        <v>0</v>
      </c>
      <c r="BD3" s="129">
        <f t="shared" ref="BD3:BI3" si="12">VLOOKUP(BD2,$AL:$AS,8,0)</f>
        <v>0</v>
      </c>
      <c r="BE3" s="129">
        <f t="shared" si="12"/>
        <v>0</v>
      </c>
      <c r="BF3" s="129">
        <f t="shared" ref="BF3" si="13">VLOOKUP(BF2,$AL:$AS,8,0)</f>
        <v>0</v>
      </c>
      <c r="BG3" s="129" t="e">
        <f t="shared" ref="BG3" si="14">VLOOKUP(BG2,$AL:$AS,8,0)</f>
        <v>#N/A</v>
      </c>
      <c r="BH3" s="129" t="e">
        <f t="shared" si="12"/>
        <v>#N/A</v>
      </c>
      <c r="BI3" s="129">
        <f t="shared" si="12"/>
        <v>312</v>
      </c>
      <c r="BJ3" s="129">
        <f t="shared" ref="BJ3:BN3" si="15">VLOOKUP(BJ2,$AL:$AS,8,0)</f>
        <v>0</v>
      </c>
      <c r="BK3" s="129">
        <f t="shared" si="15"/>
        <v>0</v>
      </c>
      <c r="BL3" s="129">
        <f t="shared" si="15"/>
        <v>0</v>
      </c>
      <c r="BM3" s="129">
        <f t="shared" si="15"/>
        <v>0</v>
      </c>
      <c r="BN3" s="129">
        <f t="shared" si="15"/>
        <v>0</v>
      </c>
      <c r="BO3" s="129">
        <f>VLOOKUP(BO2,$AL:$AS,3,0)</f>
        <v>0</v>
      </c>
      <c r="BP3" s="129">
        <f>VLOOKUP(BP2,$AL:$AS,3,0)</f>
        <v>264</v>
      </c>
      <c r="BQ3" s="129">
        <f>VLOOKUP(BQ2,$AL:$AS,3,0)</f>
        <v>28</v>
      </c>
      <c r="BR3" s="129">
        <f>VLOOKUP(BR2,$AL:$AS,3,0)</f>
        <v>28</v>
      </c>
      <c r="BS3" s="129">
        <f t="shared" ref="BS3" si="16">VLOOKUP(BS2,$AL:$AS,3,0)</f>
        <v>0</v>
      </c>
      <c r="BT3" s="129">
        <f t="shared" ref="BT3:BU3" si="17">VLOOKUP(BT2,$AL:$AS,3,0)</f>
        <v>0</v>
      </c>
      <c r="BU3" s="129" t="e">
        <f t="shared" si="17"/>
        <v>#N/A</v>
      </c>
      <c r="BV3" s="129"/>
      <c r="BW3" s="33" t="s">
        <v>603</v>
      </c>
      <c r="BX3" s="33"/>
      <c r="BY3" s="33"/>
      <c r="BZ3" s="129" t="e">
        <f>VLOOKUP(BZ2,$AL:$AS,8,0)</f>
        <v>#N/A</v>
      </c>
      <c r="CA3" s="129" t="e">
        <f t="shared" ref="CA3:CK3" si="18">VLOOKUP(CA2,$AL:$AS,8,0)</f>
        <v>#N/A</v>
      </c>
      <c r="CB3" s="129" t="e">
        <f t="shared" si="18"/>
        <v>#N/A</v>
      </c>
      <c r="CC3" s="129" t="e">
        <f t="shared" si="18"/>
        <v>#N/A</v>
      </c>
      <c r="CD3" s="129">
        <f t="shared" si="18"/>
        <v>0</v>
      </c>
      <c r="CE3" s="129">
        <f t="shared" si="18"/>
        <v>0</v>
      </c>
      <c r="CF3" s="129">
        <f t="shared" si="18"/>
        <v>0</v>
      </c>
      <c r="CG3" s="129">
        <f t="shared" si="18"/>
        <v>0</v>
      </c>
      <c r="CH3" s="129">
        <f t="shared" si="18"/>
        <v>0</v>
      </c>
      <c r="CI3" s="129">
        <f t="shared" si="18"/>
        <v>0</v>
      </c>
      <c r="CJ3" s="129">
        <f t="shared" si="18"/>
        <v>0</v>
      </c>
      <c r="CK3" s="129">
        <f t="shared" si="18"/>
        <v>0</v>
      </c>
      <c r="CL3" s="129" t="e">
        <f>VLOOKUP(CL2,$AL:$AS,3,0)</f>
        <v>#N/A</v>
      </c>
      <c r="CM3" s="129" t="e">
        <f t="shared" ref="CM3:CR3" si="19">VLOOKUP(CM2,$AL:$AS,3,0)</f>
        <v>#N/A</v>
      </c>
      <c r="CN3" s="129">
        <f t="shared" si="19"/>
        <v>0</v>
      </c>
      <c r="CO3" s="129">
        <f t="shared" si="19"/>
        <v>0</v>
      </c>
      <c r="CP3" s="129">
        <f t="shared" si="19"/>
        <v>0</v>
      </c>
      <c r="CQ3" s="129">
        <f t="shared" si="19"/>
        <v>0</v>
      </c>
      <c r="CR3" s="129" t="e">
        <f t="shared" si="19"/>
        <v>#N/A</v>
      </c>
      <c r="CW3">
        <f>ImpliedVolatility("C",17540,17500,5%,2/365,0,104,16%)</f>
        <v>0.15388393050553298</v>
      </c>
      <c r="DC3" s="155">
        <v>0.15379999999999999</v>
      </c>
    </row>
    <row r="4" spans="1:126">
      <c r="A4" s="48" t="s">
        <v>544</v>
      </c>
      <c r="B4" s="48">
        <v>400</v>
      </c>
      <c r="I4" s="34"/>
      <c r="J4" s="129"/>
      <c r="L4" s="34"/>
      <c r="M4" s="34"/>
      <c r="S4" s="68"/>
      <c r="T4" s="68"/>
      <c r="U4" s="68"/>
      <c r="V4" s="68"/>
      <c r="W4" s="68"/>
      <c r="X4" s="68"/>
      <c r="Y4" s="68"/>
      <c r="Z4" s="68"/>
      <c r="AA4" s="68"/>
      <c r="AB4" s="68"/>
      <c r="AC4" s="68"/>
      <c r="AD4" s="68"/>
      <c r="AE4" s="68"/>
      <c r="AF4" s="68"/>
      <c r="AG4" s="68"/>
      <c r="AI4" s="34" t="e">
        <f t="shared" si="10"/>
        <v>#VALUE!</v>
      </c>
      <c r="AJ4" t="e">
        <f t="shared" si="9"/>
        <v>#VALUE!</v>
      </c>
      <c r="AK4" s="151">
        <v>44616</v>
      </c>
      <c r="AL4" s="134">
        <f t="shared" si="11"/>
        <v>16300</v>
      </c>
      <c r="AM4" s="33">
        <v>500</v>
      </c>
      <c r="AN4" s="132">
        <v>1433.8</v>
      </c>
      <c r="AO4" s="33">
        <v>0.91</v>
      </c>
      <c r="AP4" s="134">
        <v>16300</v>
      </c>
      <c r="AQ4" s="33">
        <v>20.82</v>
      </c>
      <c r="AR4" t="s">
        <v>502</v>
      </c>
      <c r="AS4" s="133">
        <v>50.15</v>
      </c>
      <c r="AT4" s="33">
        <v>-0.09</v>
      </c>
      <c r="AU4" s="33">
        <v>225650</v>
      </c>
      <c r="AV4" s="33">
        <v>-2.75</v>
      </c>
      <c r="AW4" s="33">
        <v>8.99</v>
      </c>
      <c r="AX4" s="33">
        <v>1.4999999999999999E-4</v>
      </c>
      <c r="AZ4" t="s">
        <v>602</v>
      </c>
      <c r="BC4" s="33"/>
      <c r="BD4" s="33"/>
      <c r="BE4" s="33"/>
      <c r="BF4" s="33"/>
      <c r="BG4" s="33">
        <v>24</v>
      </c>
      <c r="BH4" s="33">
        <v>34</v>
      </c>
      <c r="BI4" s="33">
        <v>274</v>
      </c>
      <c r="BJ4" s="33"/>
      <c r="BK4" s="33"/>
      <c r="BL4" s="33"/>
      <c r="BM4" s="33"/>
      <c r="BN4" s="33"/>
      <c r="BO4" s="33"/>
      <c r="BP4" s="33">
        <v>264</v>
      </c>
      <c r="BQ4" s="33">
        <v>28</v>
      </c>
      <c r="BR4" s="33">
        <v>28</v>
      </c>
      <c r="BS4" s="33"/>
      <c r="BT4" s="33"/>
      <c r="BU4" s="33"/>
      <c r="BV4" s="129"/>
      <c r="BZ4" s="33"/>
      <c r="CA4" s="33"/>
      <c r="CB4" s="33"/>
      <c r="CC4" s="33"/>
      <c r="CD4" s="33"/>
      <c r="CE4" s="33"/>
      <c r="CF4" s="33"/>
      <c r="CG4" s="33"/>
      <c r="CH4" s="33"/>
      <c r="CI4" s="33"/>
      <c r="CJ4" s="33"/>
      <c r="CK4" s="33"/>
      <c r="CL4" s="33"/>
      <c r="CM4" s="33"/>
      <c r="CN4" s="33"/>
      <c r="CO4" s="33"/>
      <c r="CP4" s="33"/>
      <c r="CQ4" s="33"/>
      <c r="CR4" s="33"/>
      <c r="CW4">
        <v>79</v>
      </c>
      <c r="CX4">
        <v>74</v>
      </c>
    </row>
    <row r="5" spans="1:126">
      <c r="A5" s="48" t="s">
        <v>545</v>
      </c>
      <c r="B5" s="64" t="e">
        <f>1-B4/B2</f>
        <v>#VALUE!</v>
      </c>
      <c r="I5" s="34"/>
      <c r="J5" s="129"/>
      <c r="L5" s="34"/>
      <c r="M5" s="34"/>
      <c r="S5" s="68"/>
      <c r="T5" s="68"/>
      <c r="U5" s="68"/>
      <c r="V5" s="68"/>
      <c r="W5" s="68"/>
      <c r="X5" s="68"/>
      <c r="Y5" s="68"/>
      <c r="Z5" s="68"/>
      <c r="AA5" s="68"/>
      <c r="AB5" s="68"/>
      <c r="AC5" s="68"/>
      <c r="AD5" s="68"/>
      <c r="AE5" s="68"/>
      <c r="AF5" s="68"/>
      <c r="AG5" s="68"/>
      <c r="AI5" s="34" t="e">
        <f t="shared" si="10"/>
        <v>#VALUE!</v>
      </c>
      <c r="AJ5" t="e">
        <f t="shared" si="9"/>
        <v>#VALUE!</v>
      </c>
      <c r="AK5" s="151">
        <v>44616</v>
      </c>
      <c r="AL5" s="134">
        <f t="shared" si="11"/>
        <v>16350</v>
      </c>
      <c r="AM5" s="33">
        <v>0</v>
      </c>
      <c r="AN5" s="132">
        <v>0</v>
      </c>
      <c r="AO5" s="33">
        <v>0.9</v>
      </c>
      <c r="AP5" s="134">
        <v>16350</v>
      </c>
      <c r="AQ5" s="33">
        <v>20.93</v>
      </c>
      <c r="AR5" t="s">
        <v>502</v>
      </c>
      <c r="AS5" s="133">
        <v>56.55</v>
      </c>
      <c r="AT5" s="33">
        <v>-0.1</v>
      </c>
      <c r="AU5" s="33">
        <v>1550</v>
      </c>
      <c r="AV5" s="33">
        <v>-2.97</v>
      </c>
      <c r="AW5" s="33">
        <v>9.64</v>
      </c>
      <c r="AX5" s="33">
        <v>1.6000000000000001E-4</v>
      </c>
      <c r="AZ5" t="s">
        <v>3</v>
      </c>
      <c r="BA5" s="33"/>
      <c r="BC5" s="33"/>
      <c r="BD5" s="129"/>
      <c r="BE5" s="129"/>
      <c r="BF5" s="129"/>
      <c r="BG5" s="129">
        <v>-750</v>
      </c>
      <c r="BH5" s="129">
        <v>-750</v>
      </c>
      <c r="BI5" s="129">
        <v>50</v>
      </c>
      <c r="BJ5" s="129"/>
      <c r="BK5" s="129"/>
      <c r="BL5" s="129"/>
      <c r="BM5" s="129"/>
      <c r="BN5" s="129"/>
      <c r="BO5" s="129"/>
      <c r="BP5" s="129">
        <v>50</v>
      </c>
      <c r="BQ5" s="129">
        <v>-1500</v>
      </c>
      <c r="BR5" s="129">
        <v>0</v>
      </c>
      <c r="BS5" s="129"/>
      <c r="BT5" s="129"/>
      <c r="BU5" s="129"/>
      <c r="BV5" s="129"/>
      <c r="BX5" s="33"/>
      <c r="BZ5" s="33"/>
      <c r="CA5" s="129"/>
      <c r="CB5" s="129"/>
      <c r="CC5" s="129"/>
      <c r="CD5" s="129"/>
      <c r="CE5" s="129"/>
      <c r="CF5" s="129"/>
      <c r="CG5" s="129"/>
      <c r="CH5" s="129"/>
      <c r="CI5" s="129"/>
      <c r="CJ5" s="129"/>
      <c r="CK5" s="129"/>
      <c r="CL5" s="129"/>
      <c r="CM5" s="129"/>
      <c r="CN5" s="129"/>
      <c r="CO5" s="129"/>
      <c r="CP5" s="129"/>
      <c r="CQ5" s="129"/>
      <c r="CR5" s="129"/>
      <c r="CW5" t="s">
        <v>481</v>
      </c>
      <c r="CX5" t="s">
        <v>482</v>
      </c>
    </row>
    <row r="6" spans="1:126">
      <c r="A6" s="48" t="s">
        <v>78</v>
      </c>
      <c r="B6" s="65">
        <v>44483</v>
      </c>
      <c r="I6" s="34"/>
      <c r="J6" s="129"/>
      <c r="L6" s="34"/>
      <c r="M6" s="34"/>
      <c r="S6" s="68"/>
      <c r="T6" s="68"/>
      <c r="U6" s="68"/>
      <c r="V6" s="68"/>
      <c r="W6" s="68"/>
      <c r="X6" s="68"/>
      <c r="Y6" s="68"/>
      <c r="Z6" s="68"/>
      <c r="AA6" s="68"/>
      <c r="AB6" s="68"/>
      <c r="AC6" s="68"/>
      <c r="AD6" s="68"/>
      <c r="AE6" s="68"/>
      <c r="AF6" s="68"/>
      <c r="AG6" s="68"/>
      <c r="AI6" s="34" t="e">
        <f t="shared" si="10"/>
        <v>#VALUE!</v>
      </c>
      <c r="AJ6" t="e">
        <f t="shared" si="9"/>
        <v>#VALUE!</v>
      </c>
      <c r="AK6" s="151">
        <v>44616</v>
      </c>
      <c r="AL6" s="134">
        <f t="shared" si="11"/>
        <v>16400</v>
      </c>
      <c r="AM6" s="33">
        <v>650</v>
      </c>
      <c r="AN6" s="132">
        <v>1258.1500000000001</v>
      </c>
      <c r="AO6" s="33">
        <v>0.9</v>
      </c>
      <c r="AP6" s="134">
        <v>16400</v>
      </c>
      <c r="AQ6" s="33">
        <v>19.7</v>
      </c>
      <c r="AR6" t="s">
        <v>502</v>
      </c>
      <c r="AS6" s="133">
        <v>50.5</v>
      </c>
      <c r="AT6" s="33">
        <v>-0.1</v>
      </c>
      <c r="AU6" s="33">
        <v>351300</v>
      </c>
      <c r="AV6" s="33">
        <v>-2.71</v>
      </c>
      <c r="AW6" s="33">
        <v>9.35</v>
      </c>
      <c r="AX6" s="33">
        <v>1.6000000000000001E-4</v>
      </c>
      <c r="AZ6" t="s">
        <v>117</v>
      </c>
      <c r="BA6" s="33">
        <f>SUM(BC6:BU6)</f>
        <v>-3547330.5</v>
      </c>
      <c r="BC6" s="129">
        <f t="shared" ref="BC6:BO6" si="20">67000*BC5/50</f>
        <v>0</v>
      </c>
      <c r="BD6" s="129">
        <f t="shared" si="20"/>
        <v>0</v>
      </c>
      <c r="BE6" s="129">
        <f t="shared" si="20"/>
        <v>0</v>
      </c>
      <c r="BF6" s="129">
        <f t="shared" si="20"/>
        <v>0</v>
      </c>
      <c r="BG6" s="129">
        <f t="shared" si="20"/>
        <v>-1005000</v>
      </c>
      <c r="BH6" s="129">
        <f>81897*BH5/50/2</f>
        <v>-614227.5</v>
      </c>
      <c r="BI6" s="129">
        <f>81897*BI5/50/2</f>
        <v>40948.5</v>
      </c>
      <c r="BJ6" s="129">
        <f t="shared" si="20"/>
        <v>0</v>
      </c>
      <c r="BK6" s="129">
        <f t="shared" si="20"/>
        <v>0</v>
      </c>
      <c r="BL6" s="129">
        <f t="shared" si="20"/>
        <v>0</v>
      </c>
      <c r="BM6" s="129">
        <f t="shared" si="20"/>
        <v>0</v>
      </c>
      <c r="BN6" s="129">
        <f t="shared" si="20"/>
        <v>0</v>
      </c>
      <c r="BO6" s="129">
        <f t="shared" si="20"/>
        <v>0</v>
      </c>
      <c r="BP6" s="129">
        <f>81897*BP5/50/2</f>
        <v>40948.5</v>
      </c>
      <c r="BQ6" s="129">
        <f t="shared" ref="BQ6" si="21">67000*BQ5/50</f>
        <v>-2010000</v>
      </c>
      <c r="BR6" s="129">
        <f t="shared" ref="BR6" si="22">67000*BR5/50</f>
        <v>0</v>
      </c>
      <c r="BS6" s="129">
        <f>67000*BS5/50</f>
        <v>0</v>
      </c>
      <c r="BU6" s="129"/>
      <c r="BV6" s="129"/>
      <c r="BW6" t="s">
        <v>117</v>
      </c>
      <c r="BX6" s="33"/>
      <c r="BZ6" s="33"/>
      <c r="CA6" s="129">
        <f>50000*CA5/25</f>
        <v>0</v>
      </c>
      <c r="CB6" s="129">
        <f t="shared" ref="CB6:CC6" si="23">50000*CB5/25</f>
        <v>0</v>
      </c>
      <c r="CC6" s="129">
        <f t="shared" si="23"/>
        <v>0</v>
      </c>
      <c r="CD6" s="129">
        <f t="shared" ref="CD6" si="24">50000*CD5/25</f>
        <v>0</v>
      </c>
      <c r="CE6" s="129">
        <f t="shared" ref="CE6" si="25">50000*CE5/25</f>
        <v>0</v>
      </c>
      <c r="CF6" s="129">
        <f t="shared" ref="CF6" si="26">50000*CF5/25</f>
        <v>0</v>
      </c>
      <c r="CG6" s="129">
        <f t="shared" ref="CG6" si="27">50000*CG5/25</f>
        <v>0</v>
      </c>
      <c r="CH6" s="129">
        <f t="shared" ref="CH6" si="28">50000*CH5/25</f>
        <v>0</v>
      </c>
      <c r="CI6" s="129">
        <f t="shared" ref="CI6" si="29">50000*CI5/25</f>
        <v>0</v>
      </c>
      <c r="CJ6" s="129">
        <f t="shared" ref="CJ6" si="30">50000*CJ5/25</f>
        <v>0</v>
      </c>
      <c r="CK6" s="129">
        <f t="shared" ref="CK6" si="31">50000*CK5/25</f>
        <v>0</v>
      </c>
      <c r="CL6" s="129">
        <f t="shared" ref="CL6" si="32">50000*CL5/25</f>
        <v>0</v>
      </c>
      <c r="CM6" s="129">
        <f t="shared" ref="CM6" si="33">50000*CM5/25</f>
        <v>0</v>
      </c>
      <c r="CR6" s="129"/>
      <c r="CW6">
        <v>17550</v>
      </c>
      <c r="CX6">
        <v>17550</v>
      </c>
    </row>
    <row r="7" spans="1:126">
      <c r="A7" s="48" t="s">
        <v>524</v>
      </c>
      <c r="B7" s="112">
        <v>4000000</v>
      </c>
      <c r="I7" s="34"/>
      <c r="J7" s="129"/>
      <c r="L7" s="34"/>
      <c r="M7" s="34"/>
      <c r="S7" s="68"/>
      <c r="T7" s="68"/>
      <c r="U7" s="68"/>
      <c r="V7" s="68"/>
      <c r="W7" s="68"/>
      <c r="X7" s="68"/>
      <c r="Y7" s="68"/>
      <c r="Z7" s="68"/>
      <c r="AA7" s="68"/>
      <c r="AB7" s="68"/>
      <c r="AC7" s="68"/>
      <c r="AD7" s="68"/>
      <c r="AE7" s="68"/>
      <c r="AF7" s="68"/>
      <c r="AG7" s="68"/>
      <c r="AI7" s="34" t="e">
        <f t="shared" si="10"/>
        <v>#VALUE!</v>
      </c>
      <c r="AJ7" t="e">
        <f t="shared" si="9"/>
        <v>#VALUE!</v>
      </c>
      <c r="AK7" s="151">
        <v>44616</v>
      </c>
      <c r="AL7" s="134">
        <f t="shared" si="11"/>
        <v>16450</v>
      </c>
      <c r="AM7" s="33">
        <v>0</v>
      </c>
      <c r="AN7" s="132">
        <v>0</v>
      </c>
      <c r="AO7" s="33">
        <v>0.88</v>
      </c>
      <c r="AP7" s="134">
        <v>16450</v>
      </c>
      <c r="AQ7" s="33">
        <v>20.5</v>
      </c>
      <c r="AR7" t="s">
        <v>502</v>
      </c>
      <c r="AS7" s="133">
        <v>64.400000000000006</v>
      </c>
      <c r="AT7" s="33">
        <v>-0.12</v>
      </c>
      <c r="AU7" s="33">
        <v>7800</v>
      </c>
      <c r="AV7" s="33">
        <v>-3.18</v>
      </c>
      <c r="AW7" s="33">
        <v>10.54</v>
      </c>
      <c r="AX7" s="33">
        <v>1.8000000000000001E-4</v>
      </c>
      <c r="BC7" s="33"/>
      <c r="BU7" s="129"/>
      <c r="BZ7" s="33"/>
      <c r="CR7" s="129"/>
      <c r="CV7">
        <f>CW6-500</f>
        <v>17050</v>
      </c>
      <c r="CW7">
        <f>-MAX(CV7-$CW$6,0)+$CW$4</f>
        <v>79</v>
      </c>
      <c r="CX7">
        <f>$CX$4-MAX($CX$6-CV7,0)</f>
        <v>-426</v>
      </c>
      <c r="CY7">
        <f>CW7+CX7</f>
        <v>-347</v>
      </c>
      <c r="CZ7">
        <f>CY7*50</f>
        <v>-17350</v>
      </c>
      <c r="DB7" s="33">
        <f>-OptionPrice("C",$CV7,$CW$6,2/365,5%,$DC$3,0)+$CW$4</f>
        <v>78.623024194258448</v>
      </c>
      <c r="DC7" s="33">
        <f>-OptionPrice("P",$CV7,$CX$6,2/365,5%,$DC$3,0)+$CX$4</f>
        <v>-421.56941522767374</v>
      </c>
      <c r="DD7" s="129">
        <f>DB7+DC7</f>
        <v>-342.9463910334153</v>
      </c>
    </row>
    <row r="8" spans="1:126">
      <c r="A8" s="48" t="s">
        <v>557</v>
      </c>
      <c r="B8" s="112">
        <v>12</v>
      </c>
      <c r="I8" s="34"/>
      <c r="J8" s="129"/>
      <c r="L8" s="34"/>
      <c r="M8" s="34"/>
      <c r="S8" s="68"/>
      <c r="T8" s="68"/>
      <c r="U8" s="68"/>
      <c r="V8" s="68"/>
      <c r="W8" s="68"/>
      <c r="X8" s="68"/>
      <c r="Y8" s="68"/>
      <c r="Z8" s="68"/>
      <c r="AA8" s="68"/>
      <c r="AB8" s="68"/>
      <c r="AC8" s="68"/>
      <c r="AD8" s="68"/>
      <c r="AE8" s="68"/>
      <c r="AF8" s="68"/>
      <c r="AG8" s="68"/>
      <c r="AI8" s="34" t="e">
        <f t="shared" si="10"/>
        <v>#VALUE!</v>
      </c>
      <c r="AJ8" t="e">
        <f t="shared" si="9"/>
        <v>#VALUE!</v>
      </c>
      <c r="AK8" s="151">
        <v>44616</v>
      </c>
      <c r="AL8" s="134">
        <f t="shared" si="11"/>
        <v>16500</v>
      </c>
      <c r="AM8" s="33">
        <v>46200</v>
      </c>
      <c r="AN8" s="132">
        <v>1250.8499999999999</v>
      </c>
      <c r="AO8" s="33">
        <v>0.87</v>
      </c>
      <c r="AP8" s="134">
        <v>16500</v>
      </c>
      <c r="AQ8" s="33">
        <v>20.67</v>
      </c>
      <c r="AR8" t="s">
        <v>502</v>
      </c>
      <c r="AS8" s="133">
        <v>73</v>
      </c>
      <c r="AT8" s="33">
        <v>-0.13</v>
      </c>
      <c r="AU8" s="33">
        <v>2316900</v>
      </c>
      <c r="AV8" s="33">
        <v>-3.43</v>
      </c>
      <c r="AW8" s="33">
        <v>11.27</v>
      </c>
      <c r="AX8" s="33">
        <v>1.9000000000000001E-4</v>
      </c>
      <c r="BA8" t="s">
        <v>565</v>
      </c>
      <c r="BC8" s="33" t="s">
        <v>558</v>
      </c>
      <c r="BD8" s="33" t="s">
        <v>559</v>
      </c>
      <c r="BE8" s="33" t="s">
        <v>559</v>
      </c>
      <c r="BF8" s="33" t="s">
        <v>559</v>
      </c>
      <c r="BG8" s="33" t="s">
        <v>559</v>
      </c>
      <c r="BH8" s="33" t="s">
        <v>559</v>
      </c>
      <c r="BI8" s="33" t="s">
        <v>559</v>
      </c>
      <c r="BJ8" s="33" t="s">
        <v>559</v>
      </c>
      <c r="BK8" s="33" t="s">
        <v>559</v>
      </c>
      <c r="BL8" s="33" t="s">
        <v>559</v>
      </c>
      <c r="BM8" s="33" t="s">
        <v>559</v>
      </c>
      <c r="BN8" s="33" t="s">
        <v>559</v>
      </c>
      <c r="BO8" s="33" t="s">
        <v>560</v>
      </c>
      <c r="BP8" s="33" t="s">
        <v>560</v>
      </c>
      <c r="BQ8" s="33" t="s">
        <v>560</v>
      </c>
      <c r="BR8" s="33" t="s">
        <v>560</v>
      </c>
      <c r="BS8" s="33" t="s">
        <v>560</v>
      </c>
      <c r="BT8" s="33" t="s">
        <v>560</v>
      </c>
      <c r="BU8" s="33" t="s">
        <v>561</v>
      </c>
      <c r="BX8" t="s">
        <v>565</v>
      </c>
      <c r="BZ8" s="33" t="s">
        <v>558</v>
      </c>
      <c r="CA8" s="33" t="s">
        <v>559</v>
      </c>
      <c r="CB8" s="33" t="s">
        <v>559</v>
      </c>
      <c r="CC8" s="33" t="s">
        <v>559</v>
      </c>
      <c r="CD8" s="33" t="s">
        <v>559</v>
      </c>
      <c r="CE8" s="33" t="s">
        <v>559</v>
      </c>
      <c r="CF8" s="33" t="s">
        <v>559</v>
      </c>
      <c r="CG8" s="33" t="s">
        <v>559</v>
      </c>
      <c r="CH8" s="33" t="s">
        <v>559</v>
      </c>
      <c r="CI8" s="33" t="s">
        <v>559</v>
      </c>
      <c r="CJ8" s="33" t="s">
        <v>559</v>
      </c>
      <c r="CK8" s="33" t="s">
        <v>559</v>
      </c>
      <c r="CL8" s="33" t="s">
        <v>560</v>
      </c>
      <c r="CM8" s="33" t="s">
        <v>560</v>
      </c>
      <c r="CN8" s="33" t="s">
        <v>560</v>
      </c>
      <c r="CO8" s="33" t="s">
        <v>560</v>
      </c>
      <c r="CP8" s="33" t="s">
        <v>560</v>
      </c>
      <c r="CQ8" s="33" t="s">
        <v>560</v>
      </c>
      <c r="CR8" s="33" t="s">
        <v>561</v>
      </c>
      <c r="CS8" s="33"/>
      <c r="CT8" s="33"/>
      <c r="CU8" s="33"/>
      <c r="CV8">
        <f>CV7+50</f>
        <v>17100</v>
      </c>
      <c r="CW8">
        <f t="shared" ref="CW8:CW24" si="34">-MAX(CV8-$CW$6,0)+$CW$4</f>
        <v>79</v>
      </c>
      <c r="CX8">
        <f t="shared" ref="CX8:CX24" si="35">$CX$4-MAX($CX$6-CV8,0)</f>
        <v>-376</v>
      </c>
      <c r="CY8">
        <f t="shared" ref="CY8:CY24" si="36">CW8+CX8</f>
        <v>-297</v>
      </c>
      <c r="CZ8">
        <f t="shared" ref="CZ8:CZ24" si="37">CY8*50</f>
        <v>-14850</v>
      </c>
      <c r="DA8" s="33"/>
      <c r="DB8" s="33">
        <f t="shared" ref="DB8:DB24" si="38">-OptionPrice("C",$CV8,$CW$6,2/365,5%,$DC$3,0)+$CW$4</f>
        <v>78.182938325552954</v>
      </c>
      <c r="DC8" s="33">
        <f t="shared" ref="DC8:DC24" si="39">-OptionPrice("P",$CV8,$CX$6,2/365,5%,$DC$3,0)+$CX$4</f>
        <v>-372.00950109637779</v>
      </c>
      <c r="DD8" s="129">
        <f t="shared" ref="DD8:DD24" si="40">DB8+DC8</f>
        <v>-293.82656277082481</v>
      </c>
      <c r="DE8" s="33"/>
      <c r="DF8" s="33"/>
      <c r="DG8" s="33"/>
      <c r="DH8" s="33"/>
      <c r="DI8" s="33"/>
      <c r="DJ8" s="33"/>
      <c r="DK8" s="33"/>
      <c r="DL8" s="33"/>
      <c r="DM8" s="33"/>
      <c r="DN8" s="33"/>
      <c r="DO8" s="33"/>
      <c r="DP8" s="33"/>
      <c r="DQ8" s="33"/>
      <c r="DR8" s="33"/>
      <c r="DS8" s="33"/>
      <c r="DT8" s="33"/>
      <c r="DU8" s="33"/>
      <c r="DV8" s="33"/>
    </row>
    <row r="9" spans="1:126">
      <c r="A9" s="48" t="s">
        <v>525</v>
      </c>
      <c r="B9" s="48">
        <v>4</v>
      </c>
      <c r="I9" s="34"/>
      <c r="J9" s="129"/>
      <c r="L9" s="34"/>
      <c r="M9" s="34"/>
      <c r="S9" s="68"/>
      <c r="T9" s="68"/>
      <c r="U9" s="68"/>
      <c r="V9" s="68"/>
      <c r="W9" s="68"/>
      <c r="X9" s="68"/>
      <c r="Y9" s="68"/>
      <c r="Z9" s="68"/>
      <c r="AA9" s="68"/>
      <c r="AB9" s="68"/>
      <c r="AC9" s="68"/>
      <c r="AD9" s="68"/>
      <c r="AE9" s="68"/>
      <c r="AF9" s="68"/>
      <c r="AG9" s="68"/>
      <c r="AI9" s="34" t="e">
        <f t="shared" si="10"/>
        <v>#VALUE!</v>
      </c>
      <c r="AJ9" t="e">
        <f t="shared" si="9"/>
        <v>#VALUE!</v>
      </c>
      <c r="AK9" s="151">
        <v>44616</v>
      </c>
      <c r="AL9" s="134">
        <f t="shared" si="11"/>
        <v>16550</v>
      </c>
      <c r="AM9" s="33">
        <v>0</v>
      </c>
      <c r="AN9" s="132">
        <v>0</v>
      </c>
      <c r="AO9" s="33">
        <v>0.87</v>
      </c>
      <c r="AP9" s="134">
        <v>16550</v>
      </c>
      <c r="AQ9" s="33">
        <v>20.13</v>
      </c>
      <c r="AR9" t="s">
        <v>502</v>
      </c>
      <c r="AS9" s="133">
        <v>74</v>
      </c>
      <c r="AT9" s="33">
        <v>-0.13</v>
      </c>
      <c r="AU9" s="33">
        <v>4400</v>
      </c>
      <c r="AV9" s="33">
        <v>-3.41</v>
      </c>
      <c r="AW9" s="33">
        <v>11.54</v>
      </c>
      <c r="AX9" s="33">
        <v>2.0000000000000001E-4</v>
      </c>
      <c r="AZ9" s="143">
        <f>$BB$1-200</f>
        <v>15685.714285714286</v>
      </c>
      <c r="BA9" s="33">
        <f>SUMIF(BC9:BU9,"&lt;&gt;#N/A")</f>
        <v>-172114.28571428498</v>
      </c>
      <c r="BB9" s="33"/>
      <c r="BC9" s="33">
        <f>IF(ISBLANK(BC$2),0,(MAX(BC$2-$AZ9,0)-IF(ISNUMBER(BC$4),BC$4,BC$3))*BC$5)</f>
        <v>0</v>
      </c>
      <c r="BD9" s="33">
        <f t="shared" ref="BD9:BN24" si="41">IF(ISBLANK(BD$2),0,(MAX(BD$2-$AZ9,0)-IF(ISNUMBER(BD$4),BD$4,BD$3))*BD$5)</f>
        <v>0</v>
      </c>
      <c r="BE9" s="33">
        <f t="shared" si="41"/>
        <v>0</v>
      </c>
      <c r="BF9" s="33">
        <f t="shared" si="41"/>
        <v>0</v>
      </c>
      <c r="BG9" s="33">
        <f t="shared" si="41"/>
        <v>-67714.285714285332</v>
      </c>
      <c r="BH9" s="33">
        <f t="shared" si="41"/>
        <v>-210214.28571428533</v>
      </c>
      <c r="BI9" s="33">
        <f>IF(ISBLANK(BI$2),0,(MAX(BI$2-$AZ9,0)-IF(ISNUMBER(BI$4),BI$4,BI$3))*BI$5)</f>
        <v>77014.285714285681</v>
      </c>
      <c r="BJ9" s="33">
        <f t="shared" si="41"/>
        <v>0</v>
      </c>
      <c r="BK9" s="33">
        <f t="shared" si="41"/>
        <v>0</v>
      </c>
      <c r="BL9" s="33">
        <f t="shared" si="41"/>
        <v>0</v>
      </c>
      <c r="BM9" s="33">
        <f t="shared" si="41"/>
        <v>0</v>
      </c>
      <c r="BN9" s="33">
        <f>IF(ISBLANK(BN$2),0,(MAX(BN$2-$AZ9,0)-IF(ISNUMBER(BN$4),BN$4,BN$3))*BN$5)</f>
        <v>0</v>
      </c>
      <c r="BO9" s="33">
        <f>IF(ISBLANK(BO$2),0,(MAX($AZ9-BO$2,0)-IF(ISNUMBER(BO$4),BO$4,BO$3))*BO$5)</f>
        <v>0</v>
      </c>
      <c r="BP9" s="33">
        <f t="shared" ref="BP9:BU24" si="42">IF(ISBLANK(BP$2),0,(MAX($AZ9-BP$2,0)-IF(ISNUMBER(BP$4),BP$4,BP$3))*BP$5)</f>
        <v>-13200</v>
      </c>
      <c r="BQ9" s="33">
        <f t="shared" si="42"/>
        <v>42000</v>
      </c>
      <c r="BR9" s="33">
        <f t="shared" si="42"/>
        <v>0</v>
      </c>
      <c r="BS9" s="33">
        <f t="shared" si="42"/>
        <v>0</v>
      </c>
      <c r="BT9" s="33">
        <f t="shared" si="42"/>
        <v>0</v>
      </c>
      <c r="BU9" s="33" t="e">
        <f t="shared" si="42"/>
        <v>#N/A</v>
      </c>
      <c r="BW9" s="143">
        <f>$BY$1-1800</f>
        <v>39171.428571428572</v>
      </c>
      <c r="BX9" s="33">
        <f>SUMIF(BZ9:CR9,"&lt;&gt;#N/A")</f>
        <v>0</v>
      </c>
      <c r="BY9" s="33"/>
      <c r="BZ9" s="33" t="e">
        <f>IF(ISBLANK(BZ$2),0,(MAX(BZ$2-$BW9,0)-IF(ISNUMBER(BZ$4),BZ$4,BZ$3))*BZ$5)</f>
        <v>#N/A</v>
      </c>
      <c r="CA9" s="33" t="e">
        <f t="shared" ref="CA9:CK24" si="43">IF(ISBLANK(CA$2),0,(MAX(CA$2-$BW9,0)-IF(ISNUMBER(CA$4),CA$4,CA$3))*CA$5)</f>
        <v>#N/A</v>
      </c>
      <c r="CB9" s="33" t="e">
        <f t="shared" si="43"/>
        <v>#N/A</v>
      </c>
      <c r="CC9" s="33" t="e">
        <f t="shared" si="43"/>
        <v>#N/A</v>
      </c>
      <c r="CD9" s="33">
        <f t="shared" si="43"/>
        <v>0</v>
      </c>
      <c r="CE9" s="33">
        <f t="shared" si="43"/>
        <v>0</v>
      </c>
      <c r="CF9" s="33">
        <f t="shared" si="43"/>
        <v>0</v>
      </c>
      <c r="CG9" s="33">
        <f t="shared" si="43"/>
        <v>0</v>
      </c>
      <c r="CH9" s="33">
        <f t="shared" si="43"/>
        <v>0</v>
      </c>
      <c r="CI9" s="33">
        <f t="shared" si="43"/>
        <v>0</v>
      </c>
      <c r="CJ9" s="33">
        <f t="shared" si="43"/>
        <v>0</v>
      </c>
      <c r="CK9" s="33">
        <f t="shared" si="43"/>
        <v>0</v>
      </c>
      <c r="CL9" s="33" t="e">
        <f>IF(ISBLANK(CL$2),0,(MAX($BW9-CL$2,0)-IF(ISNUMBER(CL$4),CL$4,CL$3))*CL$5)</f>
        <v>#N/A</v>
      </c>
      <c r="CM9" s="33" t="e">
        <f t="shared" ref="CM9:CR24" si="44">IF(ISBLANK(CM$2),0,(MAX($BW9-CM$2,0)-IF(ISNUMBER(CM$4),CM$4,CM$3))*CM$5)</f>
        <v>#N/A</v>
      </c>
      <c r="CN9" s="33">
        <f t="shared" si="44"/>
        <v>0</v>
      </c>
      <c r="CO9" s="33">
        <f t="shared" si="44"/>
        <v>0</v>
      </c>
      <c r="CP9" s="33">
        <f t="shared" si="44"/>
        <v>0</v>
      </c>
      <c r="CQ9" s="33">
        <f t="shared" si="44"/>
        <v>0</v>
      </c>
      <c r="CR9" s="33" t="e">
        <f t="shared" si="44"/>
        <v>#N/A</v>
      </c>
      <c r="CS9" s="33"/>
      <c r="CT9" s="33"/>
      <c r="CU9" s="33"/>
      <c r="CV9">
        <f t="shared" ref="CV9:CV24" si="45">CV8+50</f>
        <v>17150</v>
      </c>
      <c r="CW9">
        <f t="shared" si="34"/>
        <v>79</v>
      </c>
      <c r="CX9">
        <f t="shared" si="35"/>
        <v>-326</v>
      </c>
      <c r="CY9">
        <f t="shared" si="36"/>
        <v>-247</v>
      </c>
      <c r="CZ9">
        <f t="shared" si="37"/>
        <v>-12350</v>
      </c>
      <c r="DA9" s="33"/>
      <c r="DB9" s="33">
        <f t="shared" si="38"/>
        <v>77.32804778652536</v>
      </c>
      <c r="DC9" s="33">
        <f t="shared" si="39"/>
        <v>-322.86439163540854</v>
      </c>
      <c r="DD9" s="129">
        <f t="shared" si="40"/>
        <v>-245.53634384888318</v>
      </c>
      <c r="DE9" s="33"/>
      <c r="DF9" s="33"/>
      <c r="DG9" s="33"/>
      <c r="DH9" s="33"/>
      <c r="DI9" s="33"/>
      <c r="DJ9" s="33"/>
      <c r="DK9" s="33"/>
      <c r="DL9" s="33"/>
      <c r="DM9" s="33"/>
      <c r="DN9" s="33"/>
      <c r="DO9" s="33"/>
      <c r="DP9" s="33"/>
      <c r="DQ9" s="33"/>
      <c r="DR9" s="33"/>
      <c r="DS9" s="33"/>
      <c r="DT9" s="33"/>
      <c r="DU9" s="33"/>
      <c r="DV9" s="33"/>
    </row>
    <row r="10" spans="1:126">
      <c r="A10" s="48" t="s">
        <v>514</v>
      </c>
      <c r="B10" s="66" t="e">
        <f>VLOOKUP($B$9,$D:$N,11,0)*VLOOKUP($B$9,$D:$N,8,0)</f>
        <v>#N/A</v>
      </c>
      <c r="I10" s="34"/>
      <c r="J10" s="129"/>
      <c r="L10" s="34"/>
      <c r="M10" s="34"/>
      <c r="S10" s="68"/>
      <c r="T10" s="68"/>
      <c r="U10" s="68"/>
      <c r="V10" s="68"/>
      <c r="W10" s="68"/>
      <c r="X10" s="68"/>
      <c r="Y10" s="68"/>
      <c r="Z10" s="68"/>
      <c r="AA10" s="68"/>
      <c r="AB10" s="68"/>
      <c r="AC10" s="68"/>
      <c r="AD10" s="68"/>
      <c r="AE10" s="68"/>
      <c r="AF10" s="68"/>
      <c r="AG10" s="68"/>
      <c r="AI10" s="34" t="e">
        <f t="shared" si="10"/>
        <v>#VALUE!</v>
      </c>
      <c r="AJ10" t="e">
        <f t="shared" si="9"/>
        <v>#VALUE!</v>
      </c>
      <c r="AK10" s="151">
        <v>44616</v>
      </c>
      <c r="AL10" s="134">
        <f t="shared" si="11"/>
        <v>16600</v>
      </c>
      <c r="AM10" s="33">
        <v>3700</v>
      </c>
      <c r="AN10" s="132">
        <v>1165.3</v>
      </c>
      <c r="AO10" s="33">
        <v>0.86</v>
      </c>
      <c r="AP10" s="134">
        <v>16600</v>
      </c>
      <c r="AQ10" s="33">
        <v>19.920000000000002</v>
      </c>
      <c r="AR10" t="s">
        <v>502</v>
      </c>
      <c r="AS10" s="133">
        <v>79.05</v>
      </c>
      <c r="AT10" s="33">
        <v>-0.14000000000000001</v>
      </c>
      <c r="AU10" s="33">
        <v>332650</v>
      </c>
      <c r="AV10" s="33">
        <v>-3.53</v>
      </c>
      <c r="AW10" s="33">
        <v>12.04</v>
      </c>
      <c r="AX10" s="33">
        <v>2.1000000000000001E-4</v>
      </c>
      <c r="AZ10" s="143">
        <f>AZ9+$AZ$2</f>
        <v>15785.714285714286</v>
      </c>
      <c r="BA10" s="33">
        <f t="shared" ref="BA10:BA54" si="46">SUMIF(BC10:BU10,"&lt;&gt;#N/A")</f>
        <v>-27114.285714284983</v>
      </c>
      <c r="BB10" s="33"/>
      <c r="BC10" s="33">
        <f t="shared" ref="BC10:BN54" si="47">IF(ISBLANK(BC$2),0,(MAX(BC$2-$AZ10,0)-IF(ISNUMBER(BC$4),BC$4,BC$3))*BC$5)</f>
        <v>0</v>
      </c>
      <c r="BD10" s="33">
        <f t="shared" si="41"/>
        <v>0</v>
      </c>
      <c r="BE10" s="33">
        <f t="shared" si="41"/>
        <v>0</v>
      </c>
      <c r="BF10" s="33">
        <f t="shared" si="41"/>
        <v>0</v>
      </c>
      <c r="BG10" s="33">
        <f t="shared" si="41"/>
        <v>7285.7142857146755</v>
      </c>
      <c r="BH10" s="33">
        <f t="shared" si="41"/>
        <v>-135214.28571428533</v>
      </c>
      <c r="BI10" s="33">
        <f t="shared" si="41"/>
        <v>72014.285714285681</v>
      </c>
      <c r="BJ10" s="33">
        <f t="shared" si="41"/>
        <v>0</v>
      </c>
      <c r="BK10" s="33">
        <f t="shared" si="41"/>
        <v>0</v>
      </c>
      <c r="BL10" s="33">
        <f t="shared" si="41"/>
        <v>0</v>
      </c>
      <c r="BM10" s="33">
        <f t="shared" si="41"/>
        <v>0</v>
      </c>
      <c r="BN10" s="33">
        <f t="shared" si="41"/>
        <v>0</v>
      </c>
      <c r="BO10" s="33">
        <f t="shared" ref="BO10:BU54" si="48">IF(ISBLANK(BO$2),0,(MAX($AZ10-BO$2,0)-IF(ISNUMBER(BO$4),BO$4,BO$3))*BO$5)</f>
        <v>0</v>
      </c>
      <c r="BP10" s="33">
        <f t="shared" si="42"/>
        <v>-13200</v>
      </c>
      <c r="BQ10" s="33">
        <f t="shared" si="42"/>
        <v>42000</v>
      </c>
      <c r="BR10" s="33">
        <f t="shared" si="42"/>
        <v>0</v>
      </c>
      <c r="BS10" s="33">
        <f t="shared" si="42"/>
        <v>0</v>
      </c>
      <c r="BT10" s="33">
        <f t="shared" si="42"/>
        <v>0</v>
      </c>
      <c r="BU10" s="33" t="e">
        <f t="shared" si="42"/>
        <v>#N/A</v>
      </c>
      <c r="BW10" s="143">
        <f>BW9+$BW$2</f>
        <v>39221.428571428572</v>
      </c>
      <c r="BX10" s="33">
        <f t="shared" ref="BX10:BX54" si="49">SUMIF(BZ10:CR10,"&lt;&gt;#N/A")</f>
        <v>0</v>
      </c>
      <c r="BY10" s="33"/>
      <c r="BZ10" s="33" t="e">
        <f t="shared" ref="BZ10:CK25" si="50">IF(ISBLANK(BZ$2),0,(MAX(BZ$2-$BW10,0)-IF(ISNUMBER(BZ$4),BZ$4,BZ$3))*BZ$5)</f>
        <v>#N/A</v>
      </c>
      <c r="CA10" s="33" t="e">
        <f t="shared" si="43"/>
        <v>#N/A</v>
      </c>
      <c r="CB10" s="33" t="e">
        <f t="shared" si="43"/>
        <v>#N/A</v>
      </c>
      <c r="CC10" s="33" t="e">
        <f t="shared" si="43"/>
        <v>#N/A</v>
      </c>
      <c r="CD10" s="33">
        <f t="shared" si="43"/>
        <v>0</v>
      </c>
      <c r="CE10" s="33">
        <f t="shared" si="43"/>
        <v>0</v>
      </c>
      <c r="CF10" s="33">
        <f t="shared" si="43"/>
        <v>0</v>
      </c>
      <c r="CG10" s="33">
        <f t="shared" si="43"/>
        <v>0</v>
      </c>
      <c r="CH10" s="33">
        <f t="shared" si="43"/>
        <v>0</v>
      </c>
      <c r="CI10" s="33">
        <f t="shared" si="43"/>
        <v>0</v>
      </c>
      <c r="CJ10" s="33">
        <f t="shared" si="43"/>
        <v>0</v>
      </c>
      <c r="CK10" s="33">
        <f t="shared" si="43"/>
        <v>0</v>
      </c>
      <c r="CL10" s="33" t="e">
        <f t="shared" ref="CL10:CR25" si="51">IF(ISBLANK(CL$2),0,(MAX($BW10-CL$2,0)-IF(ISNUMBER(CL$4),CL$4,CL$3))*CL$5)</f>
        <v>#N/A</v>
      </c>
      <c r="CM10" s="33" t="e">
        <f t="shared" si="44"/>
        <v>#N/A</v>
      </c>
      <c r="CN10" s="33">
        <f t="shared" si="44"/>
        <v>0</v>
      </c>
      <c r="CO10" s="33">
        <f t="shared" si="44"/>
        <v>0</v>
      </c>
      <c r="CP10" s="33">
        <f t="shared" si="44"/>
        <v>0</v>
      </c>
      <c r="CQ10" s="33">
        <f t="shared" si="44"/>
        <v>0</v>
      </c>
      <c r="CR10" s="33" t="e">
        <f t="shared" si="44"/>
        <v>#N/A</v>
      </c>
      <c r="CS10" s="33"/>
      <c r="CT10" s="33"/>
      <c r="CU10" s="33"/>
      <c r="CV10">
        <f t="shared" si="45"/>
        <v>17200</v>
      </c>
      <c r="CW10">
        <f t="shared" si="34"/>
        <v>79</v>
      </c>
      <c r="CX10">
        <f t="shared" si="35"/>
        <v>-276</v>
      </c>
      <c r="CY10">
        <f t="shared" si="36"/>
        <v>-197</v>
      </c>
      <c r="CZ10">
        <f t="shared" si="37"/>
        <v>-9850</v>
      </c>
      <c r="DA10" s="33"/>
      <c r="DB10" s="33">
        <f t="shared" si="38"/>
        <v>75.764375389546217</v>
      </c>
      <c r="DC10" s="33">
        <f t="shared" si="39"/>
        <v>-274.42806403238865</v>
      </c>
      <c r="DD10" s="129">
        <f t="shared" si="40"/>
        <v>-198.66368864284243</v>
      </c>
      <c r="DE10" s="33"/>
      <c r="DF10" s="33"/>
      <c r="DG10" s="33"/>
      <c r="DH10" s="33"/>
      <c r="DI10" s="33"/>
      <c r="DJ10" s="33"/>
      <c r="DK10" s="33"/>
      <c r="DL10" s="33"/>
      <c r="DM10" s="33"/>
      <c r="DN10" s="33"/>
      <c r="DO10" s="33"/>
      <c r="DP10" s="33"/>
      <c r="DQ10" s="33"/>
      <c r="DR10" s="33"/>
      <c r="DS10" s="33"/>
      <c r="DT10" s="33"/>
      <c r="DU10" s="33"/>
      <c r="DV10" s="33"/>
    </row>
    <row r="11" spans="1:126">
      <c r="A11" s="48" t="s">
        <v>526</v>
      </c>
      <c r="B11" s="67" t="e">
        <f>VLOOKUP($B$9,$D:$M,10,0)</f>
        <v>#N/A</v>
      </c>
      <c r="I11" s="34"/>
      <c r="J11" s="129"/>
      <c r="L11" s="34"/>
      <c r="M11" s="34"/>
      <c r="S11" s="68"/>
      <c r="T11" s="68"/>
      <c r="U11" s="68"/>
      <c r="V11" s="68"/>
      <c r="W11" s="68"/>
      <c r="X11" s="68"/>
      <c r="Y11" s="68"/>
      <c r="Z11" s="68"/>
      <c r="AA11" s="68"/>
      <c r="AB11" s="68"/>
      <c r="AC11" s="68"/>
      <c r="AD11" s="68"/>
      <c r="AE11" s="68"/>
      <c r="AF11" s="68"/>
      <c r="AG11" s="68"/>
      <c r="AI11" s="34" t="e">
        <f t="shared" si="10"/>
        <v>#VALUE!</v>
      </c>
      <c r="AJ11" t="e">
        <f t="shared" si="9"/>
        <v>#VALUE!</v>
      </c>
      <c r="AK11" s="151">
        <v>44616</v>
      </c>
      <c r="AL11" s="134">
        <f t="shared" si="11"/>
        <v>16650</v>
      </c>
      <c r="AM11" s="33">
        <v>0</v>
      </c>
      <c r="AN11" s="132">
        <v>0</v>
      </c>
      <c r="AO11" s="33">
        <v>0.85</v>
      </c>
      <c r="AP11" s="134">
        <v>16650</v>
      </c>
      <c r="AQ11" s="33">
        <v>20.059999999999999</v>
      </c>
      <c r="AR11" t="s">
        <v>502</v>
      </c>
      <c r="AS11" s="133">
        <v>88.75</v>
      </c>
      <c r="AT11" s="33">
        <v>-0.15</v>
      </c>
      <c r="AU11" s="33">
        <v>5050</v>
      </c>
      <c r="AV11" s="33">
        <v>-3.76</v>
      </c>
      <c r="AW11" s="33">
        <v>12.76</v>
      </c>
      <c r="AX11" s="33">
        <v>2.2000000000000001E-4</v>
      </c>
      <c r="AZ11" s="143">
        <f t="shared" ref="AZ11:AZ54" si="52">AZ10+$AZ$2</f>
        <v>15885.714285714286</v>
      </c>
      <c r="BA11" s="33">
        <f t="shared" si="46"/>
        <v>53600.000000000357</v>
      </c>
      <c r="BB11" s="33"/>
      <c r="BC11" s="33">
        <f t="shared" si="47"/>
        <v>0</v>
      </c>
      <c r="BD11" s="33">
        <f t="shared" si="41"/>
        <v>0</v>
      </c>
      <c r="BE11" s="33">
        <f t="shared" si="41"/>
        <v>0</v>
      </c>
      <c r="BF11" s="33">
        <f t="shared" si="41"/>
        <v>0</v>
      </c>
      <c r="BG11" s="33">
        <f t="shared" si="41"/>
        <v>18000</v>
      </c>
      <c r="BH11" s="33">
        <f t="shared" si="41"/>
        <v>-60214.285714285325</v>
      </c>
      <c r="BI11" s="33">
        <f t="shared" si="41"/>
        <v>67014.285714285681</v>
      </c>
      <c r="BJ11" s="33">
        <f t="shared" si="41"/>
        <v>0</v>
      </c>
      <c r="BK11" s="33">
        <f t="shared" si="41"/>
        <v>0</v>
      </c>
      <c r="BL11" s="33">
        <f t="shared" si="41"/>
        <v>0</v>
      </c>
      <c r="BM11" s="33">
        <f t="shared" si="41"/>
        <v>0</v>
      </c>
      <c r="BN11" s="33">
        <f t="shared" si="41"/>
        <v>0</v>
      </c>
      <c r="BO11" s="33">
        <f t="shared" si="48"/>
        <v>0</v>
      </c>
      <c r="BP11" s="33">
        <f t="shared" si="42"/>
        <v>-13200</v>
      </c>
      <c r="BQ11" s="33">
        <f t="shared" si="42"/>
        <v>42000</v>
      </c>
      <c r="BR11" s="33">
        <f t="shared" si="42"/>
        <v>0</v>
      </c>
      <c r="BS11" s="33">
        <f t="shared" si="42"/>
        <v>0</v>
      </c>
      <c r="BT11" s="33">
        <f t="shared" si="42"/>
        <v>0</v>
      </c>
      <c r="BU11" s="33" t="e">
        <f t="shared" si="42"/>
        <v>#N/A</v>
      </c>
      <c r="BW11" s="143">
        <f t="shared" ref="BW11:BW54" si="53">BW10+$BW$2</f>
        <v>39271.428571428572</v>
      </c>
      <c r="BX11" s="33">
        <f t="shared" si="49"/>
        <v>0</v>
      </c>
      <c r="BY11" s="33"/>
      <c r="BZ11" s="33" t="e">
        <f t="shared" si="50"/>
        <v>#N/A</v>
      </c>
      <c r="CA11" s="33" t="e">
        <f t="shared" si="43"/>
        <v>#N/A</v>
      </c>
      <c r="CB11" s="33" t="e">
        <f t="shared" si="43"/>
        <v>#N/A</v>
      </c>
      <c r="CC11" s="33" t="e">
        <f t="shared" si="43"/>
        <v>#N/A</v>
      </c>
      <c r="CD11" s="33">
        <f t="shared" si="43"/>
        <v>0</v>
      </c>
      <c r="CE11" s="33">
        <f t="shared" si="43"/>
        <v>0</v>
      </c>
      <c r="CF11" s="33">
        <f t="shared" si="43"/>
        <v>0</v>
      </c>
      <c r="CG11" s="33">
        <f t="shared" si="43"/>
        <v>0</v>
      </c>
      <c r="CH11" s="33">
        <f t="shared" si="43"/>
        <v>0</v>
      </c>
      <c r="CI11" s="33">
        <f t="shared" si="43"/>
        <v>0</v>
      </c>
      <c r="CJ11" s="33">
        <f t="shared" si="43"/>
        <v>0</v>
      </c>
      <c r="CK11" s="33">
        <f t="shared" si="43"/>
        <v>0</v>
      </c>
      <c r="CL11" s="33" t="e">
        <f t="shared" si="51"/>
        <v>#N/A</v>
      </c>
      <c r="CM11" s="33" t="e">
        <f t="shared" si="44"/>
        <v>#N/A</v>
      </c>
      <c r="CN11" s="33">
        <f t="shared" si="44"/>
        <v>0</v>
      </c>
      <c r="CO11" s="33">
        <f t="shared" si="44"/>
        <v>0</v>
      </c>
      <c r="CP11" s="33">
        <f t="shared" si="44"/>
        <v>0</v>
      </c>
      <c r="CQ11" s="33">
        <f t="shared" si="44"/>
        <v>0</v>
      </c>
      <c r="CR11" s="33" t="e">
        <f t="shared" si="44"/>
        <v>#N/A</v>
      </c>
      <c r="CS11" s="33"/>
      <c r="CT11" s="33"/>
      <c r="CU11" s="33"/>
      <c r="CV11">
        <f t="shared" si="45"/>
        <v>17250</v>
      </c>
      <c r="CW11">
        <f t="shared" si="34"/>
        <v>79</v>
      </c>
      <c r="CX11">
        <f t="shared" si="35"/>
        <v>-226</v>
      </c>
      <c r="CY11">
        <f t="shared" si="36"/>
        <v>-147</v>
      </c>
      <c r="CZ11">
        <f t="shared" si="37"/>
        <v>-7350</v>
      </c>
      <c r="DA11" s="33"/>
      <c r="DB11" s="33">
        <f t="shared" si="38"/>
        <v>73.067266608629097</v>
      </c>
      <c r="DC11" s="33">
        <f t="shared" si="39"/>
        <v>-227.12517281330292</v>
      </c>
      <c r="DD11" s="129">
        <f t="shared" si="40"/>
        <v>-154.05790620467383</v>
      </c>
      <c r="DE11" s="33"/>
      <c r="DF11" s="33"/>
      <c r="DG11" s="33"/>
      <c r="DH11" s="33"/>
      <c r="DI11" s="33"/>
      <c r="DJ11" s="33"/>
      <c r="DK11" s="33"/>
      <c r="DL11" s="33"/>
      <c r="DM11" s="33"/>
      <c r="DN11" s="33"/>
      <c r="DO11" s="33"/>
      <c r="DP11" s="33"/>
      <c r="DQ11" s="33"/>
      <c r="DR11" s="33"/>
      <c r="DS11" s="33"/>
      <c r="DT11" s="33"/>
      <c r="DU11" s="33"/>
      <c r="DV11" s="33"/>
    </row>
    <row r="12" spans="1:126">
      <c r="A12" s="48" t="s">
        <v>527</v>
      </c>
      <c r="B12" s="66" t="e">
        <f>VLOOKUP($B$9,$D:$O,12,0)</f>
        <v>#N/A</v>
      </c>
      <c r="I12" s="34"/>
      <c r="J12" s="129"/>
      <c r="L12" s="34"/>
      <c r="M12" s="34"/>
      <c r="S12" s="68"/>
      <c r="T12" s="68"/>
      <c r="U12" s="68"/>
      <c r="V12" s="68"/>
      <c r="W12" s="68"/>
      <c r="X12" s="68"/>
      <c r="Y12" s="68"/>
      <c r="Z12" s="68"/>
      <c r="AA12" s="68"/>
      <c r="AB12" s="68"/>
      <c r="AC12" s="68"/>
      <c r="AD12" s="68"/>
      <c r="AE12" s="68"/>
      <c r="AF12" s="68"/>
      <c r="AG12" s="68"/>
      <c r="AI12" s="34" t="e">
        <f t="shared" si="10"/>
        <v>#VALUE!</v>
      </c>
      <c r="AJ12" t="e">
        <f t="shared" si="9"/>
        <v>#VALUE!</v>
      </c>
      <c r="AK12" s="151">
        <v>44616</v>
      </c>
      <c r="AL12" s="134">
        <f t="shared" si="11"/>
        <v>16700</v>
      </c>
      <c r="AM12" s="33">
        <v>7900</v>
      </c>
      <c r="AN12" s="132">
        <v>1061</v>
      </c>
      <c r="AO12" s="33">
        <v>0.87</v>
      </c>
      <c r="AP12" s="134">
        <v>16700</v>
      </c>
      <c r="AQ12" s="33">
        <v>17.41</v>
      </c>
      <c r="AR12" t="s">
        <v>502</v>
      </c>
      <c r="AS12" s="133">
        <v>64.3</v>
      </c>
      <c r="AT12" s="33">
        <v>-0.13</v>
      </c>
      <c r="AU12" s="33">
        <v>361900</v>
      </c>
      <c r="AV12" s="33">
        <v>-2.97</v>
      </c>
      <c r="AW12" s="33">
        <v>11.59</v>
      </c>
      <c r="AX12" s="33">
        <v>2.3000000000000001E-4</v>
      </c>
      <c r="AZ12" s="143">
        <f t="shared" si="52"/>
        <v>15985.714285714286</v>
      </c>
      <c r="BA12" s="33">
        <f t="shared" si="46"/>
        <v>123600.00000000036</v>
      </c>
      <c r="BB12" s="33"/>
      <c r="BC12" s="33">
        <f t="shared" si="47"/>
        <v>0</v>
      </c>
      <c r="BD12" s="33">
        <f t="shared" si="41"/>
        <v>0</v>
      </c>
      <c r="BE12" s="33">
        <f t="shared" si="41"/>
        <v>0</v>
      </c>
      <c r="BF12" s="33">
        <f t="shared" si="41"/>
        <v>0</v>
      </c>
      <c r="BG12" s="33">
        <f t="shared" si="41"/>
        <v>18000</v>
      </c>
      <c r="BH12" s="33">
        <f t="shared" si="41"/>
        <v>14785.714285714675</v>
      </c>
      <c r="BI12" s="33">
        <f t="shared" si="41"/>
        <v>62014.285714285688</v>
      </c>
      <c r="BJ12" s="33">
        <f t="shared" si="41"/>
        <v>0</v>
      </c>
      <c r="BK12" s="33">
        <f t="shared" si="41"/>
        <v>0</v>
      </c>
      <c r="BL12" s="33">
        <f t="shared" si="41"/>
        <v>0</v>
      </c>
      <c r="BM12" s="33">
        <f t="shared" si="41"/>
        <v>0</v>
      </c>
      <c r="BN12" s="33">
        <f t="shared" si="41"/>
        <v>0</v>
      </c>
      <c r="BO12" s="33">
        <f t="shared" si="48"/>
        <v>0</v>
      </c>
      <c r="BP12" s="33">
        <f t="shared" si="42"/>
        <v>-13200</v>
      </c>
      <c r="BQ12" s="33">
        <f t="shared" si="42"/>
        <v>42000</v>
      </c>
      <c r="BR12" s="33">
        <f t="shared" si="42"/>
        <v>0</v>
      </c>
      <c r="BS12" s="33">
        <f t="shared" si="42"/>
        <v>0</v>
      </c>
      <c r="BT12" s="33">
        <f t="shared" si="42"/>
        <v>0</v>
      </c>
      <c r="BU12" s="33" t="e">
        <f t="shared" si="42"/>
        <v>#N/A</v>
      </c>
      <c r="BW12" s="143">
        <f t="shared" si="53"/>
        <v>39321.428571428572</v>
      </c>
      <c r="BX12" s="33">
        <f t="shared" si="49"/>
        <v>0</v>
      </c>
      <c r="BY12" s="33"/>
      <c r="BZ12" s="33" t="e">
        <f t="shared" si="50"/>
        <v>#N/A</v>
      </c>
      <c r="CA12" s="33" t="e">
        <f t="shared" si="43"/>
        <v>#N/A</v>
      </c>
      <c r="CB12" s="33" t="e">
        <f t="shared" si="43"/>
        <v>#N/A</v>
      </c>
      <c r="CC12" s="33" t="e">
        <f t="shared" si="43"/>
        <v>#N/A</v>
      </c>
      <c r="CD12" s="33">
        <f t="shared" si="43"/>
        <v>0</v>
      </c>
      <c r="CE12" s="33">
        <f t="shared" si="43"/>
        <v>0</v>
      </c>
      <c r="CF12" s="33">
        <f t="shared" si="43"/>
        <v>0</v>
      </c>
      <c r="CG12" s="33">
        <f t="shared" si="43"/>
        <v>0</v>
      </c>
      <c r="CH12" s="33">
        <f t="shared" si="43"/>
        <v>0</v>
      </c>
      <c r="CI12" s="33">
        <f t="shared" si="43"/>
        <v>0</v>
      </c>
      <c r="CJ12" s="33">
        <f t="shared" si="43"/>
        <v>0</v>
      </c>
      <c r="CK12" s="33">
        <f t="shared" si="43"/>
        <v>0</v>
      </c>
      <c r="CL12" s="33" t="e">
        <f t="shared" si="51"/>
        <v>#N/A</v>
      </c>
      <c r="CM12" s="33" t="e">
        <f t="shared" si="44"/>
        <v>#N/A</v>
      </c>
      <c r="CN12" s="33">
        <f t="shared" si="44"/>
        <v>0</v>
      </c>
      <c r="CO12" s="33">
        <f t="shared" si="44"/>
        <v>0</v>
      </c>
      <c r="CP12" s="33">
        <f t="shared" si="44"/>
        <v>0</v>
      </c>
      <c r="CQ12" s="33">
        <f t="shared" si="44"/>
        <v>0</v>
      </c>
      <c r="CR12" s="33" t="e">
        <f t="shared" si="44"/>
        <v>#N/A</v>
      </c>
      <c r="CS12" s="33"/>
      <c r="CT12" s="33"/>
      <c r="CU12" s="33"/>
      <c r="CV12">
        <f t="shared" si="45"/>
        <v>17300</v>
      </c>
      <c r="CW12">
        <f t="shared" si="34"/>
        <v>79</v>
      </c>
      <c r="CX12">
        <f t="shared" si="35"/>
        <v>-176</v>
      </c>
      <c r="CY12">
        <f t="shared" si="36"/>
        <v>-97</v>
      </c>
      <c r="CZ12">
        <f t="shared" si="37"/>
        <v>-4850</v>
      </c>
      <c r="DA12" s="33"/>
      <c r="DB12" s="33">
        <f t="shared" si="38"/>
        <v>68.672925007652793</v>
      </c>
      <c r="DC12" s="33">
        <f t="shared" si="39"/>
        <v>-181.51951441427991</v>
      </c>
      <c r="DD12" s="129">
        <f t="shared" si="40"/>
        <v>-112.84658940662712</v>
      </c>
      <c r="DE12" s="33"/>
      <c r="DF12" s="33"/>
      <c r="DG12" s="33"/>
      <c r="DH12" s="33"/>
      <c r="DI12" s="33"/>
      <c r="DJ12" s="33"/>
      <c r="DK12" s="33"/>
      <c r="DL12" s="33"/>
      <c r="DM12" s="33"/>
      <c r="DN12" s="33"/>
      <c r="DO12" s="33"/>
      <c r="DP12" s="33"/>
      <c r="DQ12" s="33"/>
      <c r="DR12" s="33"/>
      <c r="DS12" s="33"/>
      <c r="DT12" s="33"/>
      <c r="DU12" s="33"/>
      <c r="DV12" s="33"/>
    </row>
    <row r="13" spans="1:126">
      <c r="A13" s="48" t="s">
        <v>528</v>
      </c>
      <c r="B13" s="48" t="e">
        <f>VLOOKUP($B$9,$D:$N,11,0)*50</f>
        <v>#N/A</v>
      </c>
      <c r="I13" s="34"/>
      <c r="J13" s="129"/>
      <c r="L13" s="34"/>
      <c r="M13" s="34"/>
      <c r="S13" s="68"/>
      <c r="T13" s="68"/>
      <c r="U13" s="68"/>
      <c r="V13" s="68"/>
      <c r="W13" s="68"/>
      <c r="X13" s="68"/>
      <c r="Y13" s="68"/>
      <c r="Z13" s="68"/>
      <c r="AA13" s="68"/>
      <c r="AB13" s="68"/>
      <c r="AC13" s="68"/>
      <c r="AD13" s="68"/>
      <c r="AE13" s="68"/>
      <c r="AF13" s="68"/>
      <c r="AG13" s="68"/>
      <c r="AI13" s="34" t="e">
        <f t="shared" si="10"/>
        <v>#VALUE!</v>
      </c>
      <c r="AJ13" t="e">
        <f t="shared" si="9"/>
        <v>#VALUE!</v>
      </c>
      <c r="AK13" s="151">
        <v>44616</v>
      </c>
      <c r="AL13" s="134">
        <f t="shared" si="11"/>
        <v>16750</v>
      </c>
      <c r="AM13" s="33">
        <v>50</v>
      </c>
      <c r="AN13" s="132">
        <v>1058.8499999999999</v>
      </c>
      <c r="AO13" s="33">
        <v>0.83</v>
      </c>
      <c r="AP13" s="134">
        <v>16750</v>
      </c>
      <c r="AQ13" s="33">
        <v>19.579999999999998</v>
      </c>
      <c r="AR13" t="s">
        <v>502</v>
      </c>
      <c r="AS13" s="133">
        <v>100.25</v>
      </c>
      <c r="AT13" s="33">
        <v>-0.17</v>
      </c>
      <c r="AU13" s="33">
        <v>6700</v>
      </c>
      <c r="AV13" s="33">
        <v>-3.97</v>
      </c>
      <c r="AW13" s="33">
        <v>13.77</v>
      </c>
      <c r="AX13" s="33">
        <v>2.4000000000000001E-4</v>
      </c>
      <c r="AZ13" s="143">
        <f t="shared" si="52"/>
        <v>16085.714285714286</v>
      </c>
      <c r="BA13" s="33">
        <f t="shared" si="46"/>
        <v>129314.28571428568</v>
      </c>
      <c r="BB13" s="33"/>
      <c r="BC13" s="33">
        <f t="shared" si="47"/>
        <v>0</v>
      </c>
      <c r="BD13" s="33">
        <f t="shared" si="41"/>
        <v>0</v>
      </c>
      <c r="BE13" s="33">
        <f t="shared" si="41"/>
        <v>0</v>
      </c>
      <c r="BF13" s="33">
        <f t="shared" si="41"/>
        <v>0</v>
      </c>
      <c r="BG13" s="33">
        <f t="shared" si="41"/>
        <v>18000</v>
      </c>
      <c r="BH13" s="33">
        <f t="shared" si="41"/>
        <v>25500</v>
      </c>
      <c r="BI13" s="33">
        <f t="shared" si="41"/>
        <v>57014.285714285688</v>
      </c>
      <c r="BJ13" s="33">
        <f t="shared" si="41"/>
        <v>0</v>
      </c>
      <c r="BK13" s="33">
        <f t="shared" si="41"/>
        <v>0</v>
      </c>
      <c r="BL13" s="33">
        <f t="shared" si="41"/>
        <v>0</v>
      </c>
      <c r="BM13" s="33">
        <f t="shared" si="41"/>
        <v>0</v>
      </c>
      <c r="BN13" s="33">
        <f t="shared" si="41"/>
        <v>0</v>
      </c>
      <c r="BO13" s="33">
        <f t="shared" si="48"/>
        <v>0</v>
      </c>
      <c r="BP13" s="33">
        <f t="shared" si="42"/>
        <v>-13200</v>
      </c>
      <c r="BQ13" s="33">
        <f t="shared" si="42"/>
        <v>42000</v>
      </c>
      <c r="BR13" s="33">
        <f t="shared" si="42"/>
        <v>0</v>
      </c>
      <c r="BS13" s="33">
        <f t="shared" si="42"/>
        <v>0</v>
      </c>
      <c r="BT13" s="33">
        <f t="shared" si="42"/>
        <v>0</v>
      </c>
      <c r="BU13" s="33" t="e">
        <f t="shared" si="42"/>
        <v>#N/A</v>
      </c>
      <c r="BW13" s="143">
        <f t="shared" si="53"/>
        <v>39371.428571428572</v>
      </c>
      <c r="BX13" s="33">
        <f t="shared" si="49"/>
        <v>0</v>
      </c>
      <c r="BY13" s="33"/>
      <c r="BZ13" s="33" t="e">
        <f t="shared" si="50"/>
        <v>#N/A</v>
      </c>
      <c r="CA13" s="33" t="e">
        <f t="shared" si="43"/>
        <v>#N/A</v>
      </c>
      <c r="CB13" s="33" t="e">
        <f t="shared" si="43"/>
        <v>#N/A</v>
      </c>
      <c r="CC13" s="33" t="e">
        <f t="shared" si="43"/>
        <v>#N/A</v>
      </c>
      <c r="CD13" s="33">
        <f t="shared" si="43"/>
        <v>0</v>
      </c>
      <c r="CE13" s="33">
        <f t="shared" si="43"/>
        <v>0</v>
      </c>
      <c r="CF13" s="33">
        <f t="shared" si="43"/>
        <v>0</v>
      </c>
      <c r="CG13" s="33">
        <f t="shared" si="43"/>
        <v>0</v>
      </c>
      <c r="CH13" s="33">
        <f t="shared" si="43"/>
        <v>0</v>
      </c>
      <c r="CI13" s="33">
        <f t="shared" si="43"/>
        <v>0</v>
      </c>
      <c r="CJ13" s="33">
        <f t="shared" si="43"/>
        <v>0</v>
      </c>
      <c r="CK13" s="33">
        <f t="shared" si="43"/>
        <v>0</v>
      </c>
      <c r="CL13" s="33" t="e">
        <f t="shared" si="51"/>
        <v>#N/A</v>
      </c>
      <c r="CM13" s="33" t="e">
        <f t="shared" si="44"/>
        <v>#N/A</v>
      </c>
      <c r="CN13" s="33">
        <f t="shared" si="44"/>
        <v>0</v>
      </c>
      <c r="CO13" s="33">
        <f t="shared" si="44"/>
        <v>0</v>
      </c>
      <c r="CP13" s="33">
        <f t="shared" si="44"/>
        <v>0</v>
      </c>
      <c r="CQ13" s="33">
        <f t="shared" si="44"/>
        <v>0</v>
      </c>
      <c r="CR13" s="33" t="e">
        <f t="shared" si="44"/>
        <v>#N/A</v>
      </c>
      <c r="CS13" s="33"/>
      <c r="CT13" s="33"/>
      <c r="CU13" s="33"/>
      <c r="CV13">
        <f t="shared" si="45"/>
        <v>17350</v>
      </c>
      <c r="CW13">
        <f t="shared" si="34"/>
        <v>79</v>
      </c>
      <c r="CX13">
        <f t="shared" si="35"/>
        <v>-126</v>
      </c>
      <c r="CY13">
        <f t="shared" si="36"/>
        <v>-47</v>
      </c>
      <c r="CZ13">
        <f t="shared" si="37"/>
        <v>-2350</v>
      </c>
      <c r="DA13" s="33"/>
      <c r="DB13" s="33">
        <f t="shared" si="38"/>
        <v>61.897432778690018</v>
      </c>
      <c r="DC13" s="33">
        <f t="shared" si="39"/>
        <v>-138.29500664324223</v>
      </c>
      <c r="DD13" s="129">
        <f t="shared" si="40"/>
        <v>-76.397573864552214</v>
      </c>
      <c r="DE13" s="33"/>
      <c r="DF13" s="33"/>
      <c r="DG13" s="33"/>
      <c r="DH13" s="33"/>
      <c r="DI13" s="33"/>
      <c r="DJ13" s="33"/>
      <c r="DK13" s="33"/>
      <c r="DL13" s="33"/>
      <c r="DM13" s="33"/>
      <c r="DN13" s="33"/>
      <c r="DO13" s="33"/>
      <c r="DP13" s="33"/>
      <c r="DQ13" s="33"/>
      <c r="DR13" s="33"/>
      <c r="DS13" s="33"/>
      <c r="DT13" s="33"/>
      <c r="DU13" s="33"/>
      <c r="DV13" s="33"/>
    </row>
    <row r="14" spans="1:126">
      <c r="I14" s="34"/>
      <c r="J14" s="129"/>
      <c r="L14" s="34"/>
      <c r="M14" s="34"/>
      <c r="S14" s="68"/>
      <c r="T14" s="68"/>
      <c r="U14" s="68"/>
      <c r="V14" s="68"/>
      <c r="W14" s="68"/>
      <c r="X14" s="68"/>
      <c r="Y14" s="68"/>
      <c r="Z14" s="68"/>
      <c r="AA14" s="68"/>
      <c r="AB14" s="68"/>
      <c r="AC14" s="68"/>
      <c r="AD14" s="68"/>
      <c r="AE14" s="68"/>
      <c r="AF14" s="68"/>
      <c r="AG14" s="68"/>
      <c r="AI14" s="34" t="e">
        <f t="shared" si="10"/>
        <v>#VALUE!</v>
      </c>
      <c r="AJ14" t="e">
        <f t="shared" si="9"/>
        <v>#VALUE!</v>
      </c>
      <c r="AK14" s="151">
        <v>44616</v>
      </c>
      <c r="AL14" s="134">
        <f t="shared" si="11"/>
        <v>16800</v>
      </c>
      <c r="AM14" s="33">
        <v>9200</v>
      </c>
      <c r="AN14" s="132">
        <v>1000</v>
      </c>
      <c r="AO14" s="33">
        <v>0.81</v>
      </c>
      <c r="AP14" s="134">
        <v>16800</v>
      </c>
      <c r="AQ14" s="33">
        <v>19.75</v>
      </c>
      <c r="AR14" t="s">
        <v>502</v>
      </c>
      <c r="AS14" s="133">
        <v>112.45</v>
      </c>
      <c r="AT14" s="33">
        <v>-0.19</v>
      </c>
      <c r="AU14" s="33">
        <v>481300</v>
      </c>
      <c r="AV14" s="33">
        <v>-4.22</v>
      </c>
      <c r="AW14" s="33">
        <v>14.51</v>
      </c>
      <c r="AX14" s="33">
        <v>2.5000000000000001E-4</v>
      </c>
      <c r="AZ14" s="143">
        <f t="shared" si="52"/>
        <v>16185.714285714286</v>
      </c>
      <c r="BA14" s="33">
        <f t="shared" si="46"/>
        <v>124314.28571428568</v>
      </c>
      <c r="BB14" s="33"/>
      <c r="BC14" s="33">
        <f t="shared" si="47"/>
        <v>0</v>
      </c>
      <c r="BD14" s="33">
        <f t="shared" si="41"/>
        <v>0</v>
      </c>
      <c r="BE14" s="33">
        <f t="shared" si="41"/>
        <v>0</v>
      </c>
      <c r="BF14" s="33">
        <f t="shared" si="41"/>
        <v>0</v>
      </c>
      <c r="BG14" s="33">
        <f t="shared" si="41"/>
        <v>18000</v>
      </c>
      <c r="BH14" s="33">
        <f t="shared" si="41"/>
        <v>25500</v>
      </c>
      <c r="BI14" s="33">
        <f t="shared" si="41"/>
        <v>52014.285714285688</v>
      </c>
      <c r="BJ14" s="33">
        <f t="shared" si="41"/>
        <v>0</v>
      </c>
      <c r="BK14" s="33">
        <f t="shared" si="41"/>
        <v>0</v>
      </c>
      <c r="BL14" s="33">
        <f t="shared" si="41"/>
        <v>0</v>
      </c>
      <c r="BM14" s="33">
        <f t="shared" si="41"/>
        <v>0</v>
      </c>
      <c r="BN14" s="33">
        <f t="shared" si="41"/>
        <v>0</v>
      </c>
      <c r="BO14" s="33">
        <f t="shared" si="48"/>
        <v>0</v>
      </c>
      <c r="BP14" s="33">
        <f t="shared" si="42"/>
        <v>-13200</v>
      </c>
      <c r="BQ14" s="33">
        <f t="shared" si="42"/>
        <v>42000</v>
      </c>
      <c r="BR14" s="33">
        <f t="shared" si="42"/>
        <v>0</v>
      </c>
      <c r="BS14" s="33">
        <f t="shared" si="42"/>
        <v>0</v>
      </c>
      <c r="BT14" s="33">
        <f t="shared" si="42"/>
        <v>0</v>
      </c>
      <c r="BU14" s="33" t="e">
        <f t="shared" si="42"/>
        <v>#N/A</v>
      </c>
      <c r="BW14" s="143">
        <f t="shared" si="53"/>
        <v>39421.428571428572</v>
      </c>
      <c r="BX14" s="33">
        <f t="shared" si="49"/>
        <v>0</v>
      </c>
      <c r="BY14" s="33"/>
      <c r="BZ14" s="33" t="e">
        <f t="shared" si="50"/>
        <v>#N/A</v>
      </c>
      <c r="CA14" s="33" t="e">
        <f t="shared" si="43"/>
        <v>#N/A</v>
      </c>
      <c r="CB14" s="33" t="e">
        <f t="shared" si="43"/>
        <v>#N/A</v>
      </c>
      <c r="CC14" s="33" t="e">
        <f t="shared" si="43"/>
        <v>#N/A</v>
      </c>
      <c r="CD14" s="33">
        <f t="shared" si="43"/>
        <v>0</v>
      </c>
      <c r="CE14" s="33">
        <f t="shared" si="43"/>
        <v>0</v>
      </c>
      <c r="CF14" s="33">
        <f t="shared" si="43"/>
        <v>0</v>
      </c>
      <c r="CG14" s="33">
        <f t="shared" si="43"/>
        <v>0</v>
      </c>
      <c r="CH14" s="33">
        <f t="shared" si="43"/>
        <v>0</v>
      </c>
      <c r="CI14" s="33">
        <f t="shared" si="43"/>
        <v>0</v>
      </c>
      <c r="CJ14" s="33">
        <f t="shared" si="43"/>
        <v>0</v>
      </c>
      <c r="CK14" s="33">
        <f t="shared" si="43"/>
        <v>0</v>
      </c>
      <c r="CL14" s="33" t="e">
        <f t="shared" si="51"/>
        <v>#N/A</v>
      </c>
      <c r="CM14" s="33" t="e">
        <f t="shared" si="44"/>
        <v>#N/A</v>
      </c>
      <c r="CN14" s="33">
        <f t="shared" si="44"/>
        <v>0</v>
      </c>
      <c r="CO14" s="33">
        <f t="shared" si="44"/>
        <v>0</v>
      </c>
      <c r="CP14" s="33">
        <f t="shared" si="44"/>
        <v>0</v>
      </c>
      <c r="CQ14" s="33">
        <f t="shared" si="44"/>
        <v>0</v>
      </c>
      <c r="CR14" s="33" t="e">
        <f t="shared" si="44"/>
        <v>#N/A</v>
      </c>
      <c r="CS14" s="33"/>
      <c r="CT14" s="33"/>
      <c r="CU14" s="33"/>
      <c r="CV14">
        <f t="shared" si="45"/>
        <v>17400</v>
      </c>
      <c r="CW14">
        <f t="shared" si="34"/>
        <v>79</v>
      </c>
      <c r="CX14">
        <f t="shared" si="35"/>
        <v>-76</v>
      </c>
      <c r="CY14">
        <f t="shared" si="36"/>
        <v>3</v>
      </c>
      <c r="CZ14">
        <f t="shared" si="37"/>
        <v>150</v>
      </c>
      <c r="DA14" s="33"/>
      <c r="DB14" s="33">
        <f t="shared" si="38"/>
        <v>51.990296855594806</v>
      </c>
      <c r="DC14" s="33">
        <f t="shared" si="39"/>
        <v>-98.202142566338807</v>
      </c>
      <c r="DD14" s="129">
        <f t="shared" si="40"/>
        <v>-46.211845710744001</v>
      </c>
      <c r="DE14" s="33"/>
      <c r="DF14" s="33"/>
      <c r="DG14" s="33"/>
      <c r="DH14" s="33"/>
      <c r="DI14" s="33"/>
      <c r="DJ14" s="33"/>
      <c r="DK14" s="33"/>
      <c r="DL14" s="33"/>
      <c r="DM14" s="33"/>
      <c r="DN14" s="33"/>
      <c r="DO14" s="33"/>
      <c r="DP14" s="33"/>
      <c r="DQ14" s="33"/>
      <c r="DR14" s="33"/>
      <c r="DS14" s="33"/>
      <c r="DT14" s="33"/>
      <c r="DU14" s="33"/>
      <c r="DV14" s="33"/>
    </row>
    <row r="15" spans="1:126">
      <c r="A15" t="s">
        <v>531</v>
      </c>
      <c r="I15" s="34"/>
      <c r="J15" s="129"/>
      <c r="L15" s="34"/>
      <c r="M15" s="34"/>
      <c r="S15" s="68"/>
      <c r="T15" s="68"/>
      <c r="U15" s="68"/>
      <c r="V15" s="68"/>
      <c r="W15" s="68"/>
      <c r="X15" s="68"/>
      <c r="Y15" s="68"/>
      <c r="Z15" s="68"/>
      <c r="AA15" s="68"/>
      <c r="AB15" s="68"/>
      <c r="AC15" s="68"/>
      <c r="AD15" s="68"/>
      <c r="AE15" s="68"/>
      <c r="AF15" s="68"/>
      <c r="AG15" s="68"/>
      <c r="AI15" s="34" t="e">
        <f t="shared" si="10"/>
        <v>#VALUE!</v>
      </c>
      <c r="AJ15" t="e">
        <f t="shared" si="9"/>
        <v>#VALUE!</v>
      </c>
      <c r="AK15" s="151">
        <v>44616</v>
      </c>
      <c r="AL15" s="134">
        <f t="shared" si="11"/>
        <v>16850</v>
      </c>
      <c r="AM15" s="33">
        <v>50</v>
      </c>
      <c r="AN15" s="132">
        <v>977.5</v>
      </c>
      <c r="AO15" s="33">
        <v>0.8</v>
      </c>
      <c r="AP15" s="134">
        <v>16850</v>
      </c>
      <c r="AQ15" s="33">
        <v>19.38</v>
      </c>
      <c r="AR15" t="s">
        <v>502</v>
      </c>
      <c r="AS15" s="133">
        <v>117.3</v>
      </c>
      <c r="AT15" s="33">
        <v>-0.2</v>
      </c>
      <c r="AU15" s="33">
        <v>10150</v>
      </c>
      <c r="AV15" s="33">
        <v>-4.26</v>
      </c>
      <c r="AW15" s="33">
        <v>14.95</v>
      </c>
      <c r="AX15" s="33">
        <v>2.5999999999999998E-4</v>
      </c>
      <c r="AZ15" s="143">
        <f t="shared" si="52"/>
        <v>16285.714285714286</v>
      </c>
      <c r="BA15" s="33">
        <f t="shared" si="46"/>
        <v>119314.28571428568</v>
      </c>
      <c r="BB15" s="33"/>
      <c r="BC15" s="33">
        <f t="shared" si="47"/>
        <v>0</v>
      </c>
      <c r="BD15" s="33">
        <f t="shared" si="41"/>
        <v>0</v>
      </c>
      <c r="BE15" s="33">
        <f t="shared" si="41"/>
        <v>0</v>
      </c>
      <c r="BF15" s="33">
        <f t="shared" si="41"/>
        <v>0</v>
      </c>
      <c r="BG15" s="33">
        <f t="shared" si="41"/>
        <v>18000</v>
      </c>
      <c r="BH15" s="33">
        <f t="shared" si="41"/>
        <v>25500</v>
      </c>
      <c r="BI15" s="33">
        <f t="shared" si="41"/>
        <v>47014.285714285688</v>
      </c>
      <c r="BJ15" s="33">
        <f t="shared" si="41"/>
        <v>0</v>
      </c>
      <c r="BK15" s="33">
        <f t="shared" si="41"/>
        <v>0</v>
      </c>
      <c r="BL15" s="33">
        <f t="shared" si="41"/>
        <v>0</v>
      </c>
      <c r="BM15" s="33">
        <f t="shared" si="41"/>
        <v>0</v>
      </c>
      <c r="BN15" s="33">
        <f t="shared" si="41"/>
        <v>0</v>
      </c>
      <c r="BO15" s="33">
        <f t="shared" si="48"/>
        <v>0</v>
      </c>
      <c r="BP15" s="33">
        <f t="shared" si="42"/>
        <v>-13200</v>
      </c>
      <c r="BQ15" s="33">
        <f t="shared" si="42"/>
        <v>42000</v>
      </c>
      <c r="BR15" s="33">
        <f t="shared" si="42"/>
        <v>0</v>
      </c>
      <c r="BS15" s="33">
        <f t="shared" si="42"/>
        <v>0</v>
      </c>
      <c r="BT15" s="33">
        <f t="shared" si="42"/>
        <v>0</v>
      </c>
      <c r="BU15" s="33" t="e">
        <f t="shared" si="42"/>
        <v>#N/A</v>
      </c>
      <c r="BW15" s="143">
        <f t="shared" si="53"/>
        <v>39471.428571428572</v>
      </c>
      <c r="BX15" s="33">
        <f t="shared" si="49"/>
        <v>0</v>
      </c>
      <c r="BY15" s="33"/>
      <c r="BZ15" s="33" t="e">
        <f t="shared" si="50"/>
        <v>#N/A</v>
      </c>
      <c r="CA15" s="33" t="e">
        <f t="shared" si="43"/>
        <v>#N/A</v>
      </c>
      <c r="CB15" s="33" t="e">
        <f t="shared" si="43"/>
        <v>#N/A</v>
      </c>
      <c r="CC15" s="33" t="e">
        <f t="shared" si="43"/>
        <v>#N/A</v>
      </c>
      <c r="CD15" s="33">
        <f t="shared" si="43"/>
        <v>0</v>
      </c>
      <c r="CE15" s="33">
        <f t="shared" si="43"/>
        <v>0</v>
      </c>
      <c r="CF15" s="33">
        <f t="shared" si="43"/>
        <v>0</v>
      </c>
      <c r="CG15" s="33">
        <f t="shared" si="43"/>
        <v>0</v>
      </c>
      <c r="CH15" s="33">
        <f t="shared" si="43"/>
        <v>0</v>
      </c>
      <c r="CI15" s="33">
        <f t="shared" si="43"/>
        <v>0</v>
      </c>
      <c r="CJ15" s="33">
        <f t="shared" si="43"/>
        <v>0</v>
      </c>
      <c r="CK15" s="33">
        <f t="shared" si="43"/>
        <v>0</v>
      </c>
      <c r="CL15" s="33" t="e">
        <f t="shared" si="51"/>
        <v>#N/A</v>
      </c>
      <c r="CM15" s="33" t="e">
        <f t="shared" si="44"/>
        <v>#N/A</v>
      </c>
      <c r="CN15" s="33">
        <f t="shared" si="44"/>
        <v>0</v>
      </c>
      <c r="CO15" s="33">
        <f t="shared" si="44"/>
        <v>0</v>
      </c>
      <c r="CP15" s="33">
        <f t="shared" si="44"/>
        <v>0</v>
      </c>
      <c r="CQ15" s="33">
        <f t="shared" si="44"/>
        <v>0</v>
      </c>
      <c r="CR15" s="33" t="e">
        <f t="shared" si="44"/>
        <v>#N/A</v>
      </c>
      <c r="CS15" s="33"/>
      <c r="CT15" s="33"/>
      <c r="CU15" s="33"/>
      <c r="CV15">
        <f t="shared" si="45"/>
        <v>17450</v>
      </c>
      <c r="CW15">
        <f t="shared" si="34"/>
        <v>79</v>
      </c>
      <c r="CX15">
        <f t="shared" si="35"/>
        <v>-26</v>
      </c>
      <c r="CY15">
        <f t="shared" si="36"/>
        <v>53</v>
      </c>
      <c r="CZ15">
        <f t="shared" si="37"/>
        <v>2650</v>
      </c>
      <c r="DA15" s="33"/>
      <c r="DB15" s="33">
        <f t="shared" si="38"/>
        <v>38.220077149655481</v>
      </c>
      <c r="DC15" s="33">
        <f t="shared" si="39"/>
        <v>-61.972362272275859</v>
      </c>
      <c r="DD15" s="129">
        <f t="shared" si="40"/>
        <v>-23.752285122620378</v>
      </c>
      <c r="DE15" s="33"/>
      <c r="DF15" s="33"/>
      <c r="DG15" s="33"/>
      <c r="DH15" s="33"/>
      <c r="DI15" s="33"/>
      <c r="DJ15" s="33"/>
      <c r="DK15" s="33"/>
      <c r="DL15" s="33"/>
      <c r="DM15" s="33"/>
      <c r="DN15" s="33"/>
      <c r="DO15" s="33"/>
      <c r="DP15" s="33"/>
      <c r="DQ15" s="33"/>
      <c r="DR15" s="33"/>
      <c r="DS15" s="33"/>
      <c r="DT15" s="33"/>
      <c r="DU15" s="33"/>
      <c r="DV15" s="33"/>
    </row>
    <row r="16" spans="1:126">
      <c r="A16" t="s">
        <v>532</v>
      </c>
      <c r="B16" s="72">
        <f>B6-3</f>
        <v>44480</v>
      </c>
      <c r="I16" s="34"/>
      <c r="J16" s="129"/>
      <c r="L16" s="34"/>
      <c r="M16" s="34"/>
      <c r="S16" s="68"/>
      <c r="T16" s="68"/>
      <c r="U16" s="68"/>
      <c r="V16" s="68"/>
      <c r="W16" s="68"/>
      <c r="X16" s="68"/>
      <c r="Y16" s="68"/>
      <c r="Z16" s="68"/>
      <c r="AA16" s="68"/>
      <c r="AB16" s="68"/>
      <c r="AC16" s="68"/>
      <c r="AD16" s="68"/>
      <c r="AE16" s="68"/>
      <c r="AF16" s="68"/>
      <c r="AG16" s="68"/>
      <c r="AI16" s="34" t="e">
        <f t="shared" si="10"/>
        <v>#VALUE!</v>
      </c>
      <c r="AJ16" t="e">
        <f t="shared" si="9"/>
        <v>#VALUE!</v>
      </c>
      <c r="AK16" s="151">
        <v>44616</v>
      </c>
      <c r="AL16" s="134">
        <f t="shared" si="11"/>
        <v>16900</v>
      </c>
      <c r="AM16" s="33">
        <v>5700</v>
      </c>
      <c r="AN16" s="132">
        <v>900</v>
      </c>
      <c r="AO16" s="33">
        <v>0.79</v>
      </c>
      <c r="AP16" s="134">
        <v>16900</v>
      </c>
      <c r="AQ16" s="33">
        <v>19.59</v>
      </c>
      <c r="AR16" t="s">
        <v>502</v>
      </c>
      <c r="AS16" s="133">
        <v>131.69999999999999</v>
      </c>
      <c r="AT16" s="33">
        <v>-0.21</v>
      </c>
      <c r="AU16" s="33">
        <v>376550</v>
      </c>
      <c r="AV16" s="33">
        <v>-4.5199999999999996</v>
      </c>
      <c r="AW16" s="33">
        <v>15.68</v>
      </c>
      <c r="AX16" s="33">
        <v>2.7E-4</v>
      </c>
      <c r="AZ16" s="143">
        <f t="shared" si="52"/>
        <v>16385.714285714286</v>
      </c>
      <c r="BA16" s="33">
        <f t="shared" si="46"/>
        <v>114314.28571428568</v>
      </c>
      <c r="BB16" s="33"/>
      <c r="BC16" s="33">
        <f t="shared" si="47"/>
        <v>0</v>
      </c>
      <c r="BD16" s="33">
        <f t="shared" si="41"/>
        <v>0</v>
      </c>
      <c r="BE16" s="33">
        <f t="shared" si="41"/>
        <v>0</v>
      </c>
      <c r="BF16" s="33">
        <f t="shared" si="41"/>
        <v>0</v>
      </c>
      <c r="BG16" s="33">
        <f t="shared" si="41"/>
        <v>18000</v>
      </c>
      <c r="BH16" s="33">
        <f t="shared" si="41"/>
        <v>25500</v>
      </c>
      <c r="BI16" s="33">
        <f t="shared" si="41"/>
        <v>42014.285714285688</v>
      </c>
      <c r="BJ16" s="33">
        <f t="shared" si="41"/>
        <v>0</v>
      </c>
      <c r="BK16" s="33">
        <f t="shared" si="41"/>
        <v>0</v>
      </c>
      <c r="BL16" s="33">
        <f t="shared" si="41"/>
        <v>0</v>
      </c>
      <c r="BM16" s="33">
        <f t="shared" si="41"/>
        <v>0</v>
      </c>
      <c r="BN16" s="33">
        <f t="shared" si="41"/>
        <v>0</v>
      </c>
      <c r="BO16" s="33">
        <f>IF(ISBLANK(BO$2),0,(MAX($AZ16-BO$2,0)-IF(ISNUMBER(BO$4),BO$4,BO$3))*BO$5)</f>
        <v>0</v>
      </c>
      <c r="BP16" s="33">
        <f t="shared" si="42"/>
        <v>-13200</v>
      </c>
      <c r="BQ16" s="33">
        <f t="shared" si="42"/>
        <v>42000</v>
      </c>
      <c r="BR16" s="33">
        <f t="shared" si="42"/>
        <v>0</v>
      </c>
      <c r="BS16" s="33">
        <f t="shared" si="42"/>
        <v>0</v>
      </c>
      <c r="BT16" s="33">
        <f t="shared" si="42"/>
        <v>0</v>
      </c>
      <c r="BU16" s="33" t="e">
        <f t="shared" si="42"/>
        <v>#N/A</v>
      </c>
      <c r="BW16" s="143">
        <f t="shared" si="53"/>
        <v>39521.428571428572</v>
      </c>
      <c r="BX16" s="33">
        <f t="shared" si="49"/>
        <v>0</v>
      </c>
      <c r="BY16" s="33"/>
      <c r="BZ16" s="33" t="e">
        <f t="shared" si="50"/>
        <v>#N/A</v>
      </c>
      <c r="CA16" s="33" t="e">
        <f t="shared" si="43"/>
        <v>#N/A</v>
      </c>
      <c r="CB16" s="33" t="e">
        <f t="shared" si="43"/>
        <v>#N/A</v>
      </c>
      <c r="CC16" s="33" t="e">
        <f t="shared" si="43"/>
        <v>#N/A</v>
      </c>
      <c r="CD16" s="33">
        <f t="shared" si="43"/>
        <v>0</v>
      </c>
      <c r="CE16" s="33">
        <f t="shared" si="43"/>
        <v>0</v>
      </c>
      <c r="CF16" s="33">
        <f t="shared" si="43"/>
        <v>0</v>
      </c>
      <c r="CG16" s="33">
        <f t="shared" si="43"/>
        <v>0</v>
      </c>
      <c r="CH16" s="33">
        <f t="shared" si="43"/>
        <v>0</v>
      </c>
      <c r="CI16" s="33">
        <f t="shared" si="43"/>
        <v>0</v>
      </c>
      <c r="CJ16" s="33">
        <f t="shared" si="43"/>
        <v>0</v>
      </c>
      <c r="CK16" s="33">
        <f t="shared" si="43"/>
        <v>0</v>
      </c>
      <c r="CL16" s="33" t="e">
        <f t="shared" si="51"/>
        <v>#N/A</v>
      </c>
      <c r="CM16" s="33" t="e">
        <f t="shared" si="44"/>
        <v>#N/A</v>
      </c>
      <c r="CN16" s="33">
        <f t="shared" si="44"/>
        <v>0</v>
      </c>
      <c r="CO16" s="33">
        <f t="shared" si="44"/>
        <v>0</v>
      </c>
      <c r="CP16" s="33">
        <f t="shared" si="44"/>
        <v>0</v>
      </c>
      <c r="CQ16" s="33">
        <f t="shared" si="44"/>
        <v>0</v>
      </c>
      <c r="CR16" s="33" t="e">
        <f t="shared" si="44"/>
        <v>#N/A</v>
      </c>
      <c r="CS16" s="33"/>
      <c r="CT16" s="33"/>
      <c r="CU16" s="33"/>
      <c r="CV16">
        <f t="shared" si="45"/>
        <v>17500</v>
      </c>
      <c r="CW16">
        <f t="shared" si="34"/>
        <v>79</v>
      </c>
      <c r="CX16">
        <f t="shared" si="35"/>
        <v>24</v>
      </c>
      <c r="CY16">
        <f t="shared" si="36"/>
        <v>103</v>
      </c>
      <c r="CZ16">
        <f t="shared" si="37"/>
        <v>5150</v>
      </c>
      <c r="DA16" s="33"/>
      <c r="DB16" s="33">
        <f t="shared" si="38"/>
        <v>19.97781443754684</v>
      </c>
      <c r="DC16" s="33">
        <f t="shared" si="39"/>
        <v>-30.2146249843845</v>
      </c>
      <c r="DD16" s="129">
        <f t="shared" si="40"/>
        <v>-10.23681054683766</v>
      </c>
      <c r="DE16" s="33"/>
      <c r="DF16" s="33"/>
      <c r="DG16" s="33"/>
      <c r="DH16" s="33"/>
      <c r="DI16" s="33"/>
      <c r="DJ16" s="33"/>
      <c r="DK16" s="33"/>
      <c r="DL16" s="33"/>
      <c r="DM16" s="33"/>
      <c r="DN16" s="33"/>
      <c r="DO16" s="33"/>
      <c r="DP16" s="33"/>
      <c r="DQ16" s="33"/>
      <c r="DR16" s="33"/>
      <c r="DS16" s="33"/>
      <c r="DT16" s="33"/>
      <c r="DU16" s="33"/>
      <c r="DV16" s="33"/>
    </row>
    <row r="17" spans="1:126">
      <c r="A17" t="s">
        <v>533</v>
      </c>
      <c r="B17">
        <v>17000</v>
      </c>
      <c r="I17" s="34"/>
      <c r="J17" s="129"/>
      <c r="L17" s="34"/>
      <c r="M17" s="34"/>
      <c r="S17" s="68"/>
      <c r="T17" s="68"/>
      <c r="U17" s="68"/>
      <c r="V17" s="68"/>
      <c r="W17" s="68"/>
      <c r="X17" s="68"/>
      <c r="Y17" s="68"/>
      <c r="Z17" s="68"/>
      <c r="AA17" s="68"/>
      <c r="AB17" s="68"/>
      <c r="AC17" s="68"/>
      <c r="AD17" s="68"/>
      <c r="AE17" s="68"/>
      <c r="AF17" s="68"/>
      <c r="AG17" s="68"/>
      <c r="AI17" s="34" t="e">
        <f t="shared" si="10"/>
        <v>#VALUE!</v>
      </c>
      <c r="AJ17" t="e">
        <f t="shared" si="9"/>
        <v>#VALUE!</v>
      </c>
      <c r="AK17" s="151">
        <v>44616</v>
      </c>
      <c r="AL17" s="134">
        <f t="shared" si="11"/>
        <v>16950</v>
      </c>
      <c r="AM17" s="33">
        <v>0</v>
      </c>
      <c r="AN17" s="132">
        <v>0</v>
      </c>
      <c r="AO17" s="33">
        <v>0.77</v>
      </c>
      <c r="AP17" s="134">
        <v>16950</v>
      </c>
      <c r="AQ17" s="33">
        <v>19.61</v>
      </c>
      <c r="AR17" t="s">
        <v>502</v>
      </c>
      <c r="AS17" s="133">
        <v>143.9</v>
      </c>
      <c r="AT17" s="33">
        <v>-0.23</v>
      </c>
      <c r="AU17" s="33">
        <v>23800</v>
      </c>
      <c r="AV17" s="33">
        <v>-4.7</v>
      </c>
      <c r="AW17" s="33">
        <v>16.3</v>
      </c>
      <c r="AX17" s="33">
        <v>2.9E-4</v>
      </c>
      <c r="AZ17" s="143">
        <f t="shared" si="52"/>
        <v>16485.714285714286</v>
      </c>
      <c r="BA17" s="33">
        <f t="shared" si="46"/>
        <v>109314.28571428568</v>
      </c>
      <c r="BB17" s="33"/>
      <c r="BC17" s="33">
        <f t="shared" si="47"/>
        <v>0</v>
      </c>
      <c r="BD17" s="33">
        <f t="shared" si="41"/>
        <v>0</v>
      </c>
      <c r="BE17" s="33">
        <f t="shared" si="41"/>
        <v>0</v>
      </c>
      <c r="BF17" s="33">
        <f t="shared" si="41"/>
        <v>0</v>
      </c>
      <c r="BG17" s="33">
        <f t="shared" si="41"/>
        <v>18000</v>
      </c>
      <c r="BH17" s="33">
        <f t="shared" si="41"/>
        <v>25500</v>
      </c>
      <c r="BI17" s="33">
        <f t="shared" si="41"/>
        <v>37014.285714285688</v>
      </c>
      <c r="BJ17" s="33">
        <f t="shared" si="41"/>
        <v>0</v>
      </c>
      <c r="BK17" s="33">
        <f t="shared" si="41"/>
        <v>0</v>
      </c>
      <c r="BL17" s="33">
        <f t="shared" si="41"/>
        <v>0</v>
      </c>
      <c r="BM17" s="33">
        <f t="shared" si="41"/>
        <v>0</v>
      </c>
      <c r="BN17" s="33">
        <f t="shared" si="41"/>
        <v>0</v>
      </c>
      <c r="BO17" s="33">
        <f t="shared" si="48"/>
        <v>0</v>
      </c>
      <c r="BP17" s="33">
        <f t="shared" si="42"/>
        <v>-13200</v>
      </c>
      <c r="BQ17" s="33">
        <f t="shared" si="42"/>
        <v>42000</v>
      </c>
      <c r="BR17" s="33">
        <f t="shared" si="42"/>
        <v>0</v>
      </c>
      <c r="BS17" s="33">
        <f t="shared" si="42"/>
        <v>0</v>
      </c>
      <c r="BT17" s="33">
        <f t="shared" si="42"/>
        <v>0</v>
      </c>
      <c r="BU17" s="33" t="e">
        <f t="shared" si="42"/>
        <v>#N/A</v>
      </c>
      <c r="BW17" s="143">
        <f t="shared" si="53"/>
        <v>39571.428571428572</v>
      </c>
      <c r="BX17" s="33">
        <f t="shared" si="49"/>
        <v>0</v>
      </c>
      <c r="BY17" s="33"/>
      <c r="BZ17" s="33" t="e">
        <f t="shared" si="50"/>
        <v>#N/A</v>
      </c>
      <c r="CA17" s="33" t="e">
        <f t="shared" si="43"/>
        <v>#N/A</v>
      </c>
      <c r="CB17" s="33" t="e">
        <f t="shared" si="43"/>
        <v>#N/A</v>
      </c>
      <c r="CC17" s="33" t="e">
        <f t="shared" si="43"/>
        <v>#N/A</v>
      </c>
      <c r="CD17" s="33">
        <f t="shared" si="43"/>
        <v>0</v>
      </c>
      <c r="CE17" s="33">
        <f t="shared" si="43"/>
        <v>0</v>
      </c>
      <c r="CF17" s="33">
        <f t="shared" si="43"/>
        <v>0</v>
      </c>
      <c r="CG17" s="33">
        <f t="shared" si="43"/>
        <v>0</v>
      </c>
      <c r="CH17" s="33">
        <f t="shared" si="43"/>
        <v>0</v>
      </c>
      <c r="CI17" s="33">
        <f t="shared" si="43"/>
        <v>0</v>
      </c>
      <c r="CJ17" s="33">
        <f t="shared" si="43"/>
        <v>0</v>
      </c>
      <c r="CK17" s="33">
        <f t="shared" si="43"/>
        <v>0</v>
      </c>
      <c r="CL17" s="33" t="e">
        <f t="shared" si="51"/>
        <v>#N/A</v>
      </c>
      <c r="CM17" s="33" t="e">
        <f t="shared" si="44"/>
        <v>#N/A</v>
      </c>
      <c r="CN17" s="33">
        <f t="shared" si="44"/>
        <v>0</v>
      </c>
      <c r="CO17" s="33">
        <f t="shared" si="44"/>
        <v>0</v>
      </c>
      <c r="CP17" s="33">
        <f t="shared" si="44"/>
        <v>0</v>
      </c>
      <c r="CQ17" s="33">
        <f t="shared" si="44"/>
        <v>0</v>
      </c>
      <c r="CR17" s="33" t="e">
        <f t="shared" si="44"/>
        <v>#N/A</v>
      </c>
      <c r="CS17" s="33"/>
      <c r="CT17" s="33"/>
      <c r="CU17" s="33"/>
      <c r="CV17">
        <f t="shared" si="45"/>
        <v>17550</v>
      </c>
      <c r="CW17">
        <f t="shared" si="34"/>
        <v>79</v>
      </c>
      <c r="CX17">
        <f t="shared" si="35"/>
        <v>74</v>
      </c>
      <c r="CY17">
        <f t="shared" si="36"/>
        <v>153</v>
      </c>
      <c r="CZ17">
        <f t="shared" si="37"/>
        <v>7650</v>
      </c>
      <c r="DA17" s="33"/>
      <c r="DB17" s="33">
        <f t="shared" si="38"/>
        <v>-3.1253757188205782</v>
      </c>
      <c r="DC17" s="33">
        <f t="shared" si="39"/>
        <v>-3.3178151407519181</v>
      </c>
      <c r="DD17" s="129">
        <f t="shared" si="40"/>
        <v>-6.4431908595724963</v>
      </c>
      <c r="DE17" s="33"/>
      <c r="DF17" s="33"/>
      <c r="DG17" s="33"/>
      <c r="DH17" s="33"/>
      <c r="DI17" s="33"/>
      <c r="DJ17" s="33"/>
      <c r="DK17" s="33"/>
      <c r="DL17" s="33"/>
      <c r="DM17" s="33"/>
      <c r="DN17" s="33"/>
      <c r="DO17" s="33"/>
      <c r="DP17" s="33"/>
      <c r="DQ17" s="33"/>
      <c r="DR17" s="33"/>
      <c r="DS17" s="33"/>
      <c r="DT17" s="33"/>
      <c r="DU17" s="33"/>
      <c r="DV17" s="33"/>
    </row>
    <row r="18" spans="1:126">
      <c r="A18" t="s">
        <v>534</v>
      </c>
      <c r="I18" s="34"/>
      <c r="J18" s="129"/>
      <c r="L18" s="34"/>
      <c r="M18" s="34"/>
      <c r="S18" s="68"/>
      <c r="T18" s="68"/>
      <c r="U18" s="68"/>
      <c r="V18" s="68"/>
      <c r="W18" s="68"/>
      <c r="X18" s="68"/>
      <c r="Y18" s="68"/>
      <c r="Z18" s="68"/>
      <c r="AA18" s="68"/>
      <c r="AB18" s="68"/>
      <c r="AC18" s="68"/>
      <c r="AD18" s="68"/>
      <c r="AE18" s="68"/>
      <c r="AF18" s="68"/>
      <c r="AG18" s="68"/>
      <c r="AI18" s="34" t="e">
        <f t="shared" si="10"/>
        <v>#VALUE!</v>
      </c>
      <c r="AJ18" t="e">
        <f t="shared" si="9"/>
        <v>#VALUE!</v>
      </c>
      <c r="AK18" s="151">
        <v>44616</v>
      </c>
      <c r="AL18" s="134">
        <f t="shared" si="11"/>
        <v>17000</v>
      </c>
      <c r="AM18" s="33">
        <v>173400</v>
      </c>
      <c r="AN18" s="132">
        <v>847</v>
      </c>
      <c r="AO18" s="33">
        <v>0.76</v>
      </c>
      <c r="AP18" s="134">
        <v>17000</v>
      </c>
      <c r="AQ18" s="33">
        <v>19.55</v>
      </c>
      <c r="AR18" t="s">
        <v>502</v>
      </c>
      <c r="AS18" s="133">
        <v>155.55000000000001</v>
      </c>
      <c r="AT18" s="33">
        <v>-0.24</v>
      </c>
      <c r="AU18" s="33">
        <v>2077200</v>
      </c>
      <c r="AV18" s="33">
        <v>-4.8499999999999996</v>
      </c>
      <c r="AW18" s="33">
        <v>16.87</v>
      </c>
      <c r="AX18" s="33">
        <v>2.9999999999999997E-4</v>
      </c>
      <c r="AZ18" s="143">
        <f t="shared" si="52"/>
        <v>16585.714285714286</v>
      </c>
      <c r="BA18" s="33">
        <f t="shared" si="46"/>
        <v>104314.28571428568</v>
      </c>
      <c r="BB18" s="33"/>
      <c r="BC18" s="33">
        <f t="shared" si="47"/>
        <v>0</v>
      </c>
      <c r="BD18" s="33">
        <f t="shared" si="41"/>
        <v>0</v>
      </c>
      <c r="BE18" s="33">
        <f t="shared" si="41"/>
        <v>0</v>
      </c>
      <c r="BF18" s="33">
        <f t="shared" si="41"/>
        <v>0</v>
      </c>
      <c r="BG18" s="33">
        <f t="shared" si="41"/>
        <v>18000</v>
      </c>
      <c r="BH18" s="33">
        <f t="shared" si="41"/>
        <v>25500</v>
      </c>
      <c r="BI18" s="33">
        <f t="shared" si="41"/>
        <v>32014.285714285688</v>
      </c>
      <c r="BJ18" s="33">
        <f t="shared" si="41"/>
        <v>0</v>
      </c>
      <c r="BK18" s="33">
        <f t="shared" si="41"/>
        <v>0</v>
      </c>
      <c r="BL18" s="33">
        <f t="shared" si="41"/>
        <v>0</v>
      </c>
      <c r="BM18" s="33">
        <f t="shared" si="41"/>
        <v>0</v>
      </c>
      <c r="BN18" s="33">
        <f t="shared" si="41"/>
        <v>0</v>
      </c>
      <c r="BO18" s="33">
        <f t="shared" si="48"/>
        <v>0</v>
      </c>
      <c r="BP18" s="33">
        <f t="shared" si="42"/>
        <v>-13200</v>
      </c>
      <c r="BQ18" s="33">
        <f t="shared" si="42"/>
        <v>42000</v>
      </c>
      <c r="BR18" s="33">
        <f t="shared" si="42"/>
        <v>0</v>
      </c>
      <c r="BS18" s="33">
        <f t="shared" si="42"/>
        <v>0</v>
      </c>
      <c r="BT18" s="33">
        <f t="shared" si="42"/>
        <v>0</v>
      </c>
      <c r="BU18" s="33" t="e">
        <f t="shared" si="42"/>
        <v>#N/A</v>
      </c>
      <c r="BW18" s="143">
        <f t="shared" si="53"/>
        <v>39621.428571428572</v>
      </c>
      <c r="BX18" s="33">
        <f t="shared" si="49"/>
        <v>0</v>
      </c>
      <c r="BY18" s="33"/>
      <c r="BZ18" s="33" t="e">
        <f t="shared" si="50"/>
        <v>#N/A</v>
      </c>
      <c r="CA18" s="33" t="e">
        <f t="shared" si="43"/>
        <v>#N/A</v>
      </c>
      <c r="CB18" s="33" t="e">
        <f t="shared" si="43"/>
        <v>#N/A</v>
      </c>
      <c r="CC18" s="33" t="e">
        <f t="shared" si="43"/>
        <v>#N/A</v>
      </c>
      <c r="CD18" s="33">
        <f t="shared" si="43"/>
        <v>0</v>
      </c>
      <c r="CE18" s="33">
        <f t="shared" si="43"/>
        <v>0</v>
      </c>
      <c r="CF18" s="33">
        <f t="shared" si="43"/>
        <v>0</v>
      </c>
      <c r="CG18" s="33">
        <f t="shared" si="43"/>
        <v>0</v>
      </c>
      <c r="CH18" s="33">
        <f t="shared" si="43"/>
        <v>0</v>
      </c>
      <c r="CI18" s="33">
        <f t="shared" si="43"/>
        <v>0</v>
      </c>
      <c r="CJ18" s="33">
        <f t="shared" si="43"/>
        <v>0</v>
      </c>
      <c r="CK18" s="33">
        <f t="shared" si="43"/>
        <v>0</v>
      </c>
      <c r="CL18" s="33" t="e">
        <f t="shared" si="51"/>
        <v>#N/A</v>
      </c>
      <c r="CM18" s="33" t="e">
        <f t="shared" si="44"/>
        <v>#N/A</v>
      </c>
      <c r="CN18" s="33">
        <f t="shared" si="44"/>
        <v>0</v>
      </c>
      <c r="CO18" s="33">
        <f t="shared" si="44"/>
        <v>0</v>
      </c>
      <c r="CP18" s="33">
        <f t="shared" si="44"/>
        <v>0</v>
      </c>
      <c r="CQ18" s="33">
        <f t="shared" si="44"/>
        <v>0</v>
      </c>
      <c r="CR18" s="33" t="e">
        <f t="shared" si="44"/>
        <v>#N/A</v>
      </c>
      <c r="CS18" s="33"/>
      <c r="CT18" s="33"/>
      <c r="CU18" s="33"/>
      <c r="CV18">
        <f t="shared" si="45"/>
        <v>17600</v>
      </c>
      <c r="CW18">
        <f t="shared" si="34"/>
        <v>29</v>
      </c>
      <c r="CX18">
        <f t="shared" si="35"/>
        <v>74</v>
      </c>
      <c r="CY18">
        <f t="shared" si="36"/>
        <v>103</v>
      </c>
      <c r="CZ18">
        <f t="shared" si="37"/>
        <v>5150</v>
      </c>
      <c r="DA18" s="33"/>
      <c r="DB18" s="33">
        <f t="shared" si="38"/>
        <v>-31.192230619626571</v>
      </c>
      <c r="DC18" s="33">
        <f t="shared" si="39"/>
        <v>18.615329958442999</v>
      </c>
      <c r="DD18" s="129">
        <f t="shared" si="40"/>
        <v>-12.576900661183572</v>
      </c>
      <c r="DE18" s="33"/>
      <c r="DF18" s="33"/>
      <c r="DG18" s="33"/>
      <c r="DH18" s="33"/>
      <c r="DI18" s="33"/>
      <c r="DJ18" s="33"/>
      <c r="DK18" s="33"/>
      <c r="DL18" s="33"/>
      <c r="DM18" s="33"/>
      <c r="DN18" s="33"/>
      <c r="DO18" s="33"/>
      <c r="DP18" s="33"/>
      <c r="DQ18" s="33"/>
      <c r="DR18" s="33"/>
      <c r="DS18" s="33"/>
      <c r="DT18" s="33"/>
      <c r="DU18" s="33"/>
      <c r="DV18" s="33"/>
    </row>
    <row r="19" spans="1:126">
      <c r="A19" t="s">
        <v>535</v>
      </c>
      <c r="I19" s="34"/>
      <c r="J19" s="129"/>
      <c r="L19" s="34"/>
      <c r="M19" s="34"/>
      <c r="S19" s="68"/>
      <c r="T19" s="68"/>
      <c r="U19" s="68"/>
      <c r="V19" s="68"/>
      <c r="W19" s="68"/>
      <c r="X19" s="68"/>
      <c r="Y19" s="68"/>
      <c r="Z19" s="68"/>
      <c r="AA19" s="68"/>
      <c r="AB19" s="68"/>
      <c r="AC19" s="68"/>
      <c r="AD19" s="68"/>
      <c r="AE19" s="68"/>
      <c r="AF19" s="68"/>
      <c r="AG19" s="68"/>
      <c r="AI19" s="34" t="e">
        <f t="shared" si="10"/>
        <v>#VALUE!</v>
      </c>
      <c r="AJ19" t="e">
        <f t="shared" si="9"/>
        <v>#VALUE!</v>
      </c>
      <c r="AK19" s="151">
        <v>44616</v>
      </c>
      <c r="AL19" s="134">
        <f t="shared" si="11"/>
        <v>17050</v>
      </c>
      <c r="AM19" s="33">
        <v>150</v>
      </c>
      <c r="AN19" s="132">
        <v>736</v>
      </c>
      <c r="AO19" s="33">
        <v>0.74</v>
      </c>
      <c r="AP19" s="134">
        <v>17050</v>
      </c>
      <c r="AQ19" s="33">
        <v>20.23</v>
      </c>
      <c r="AR19" t="s">
        <v>502</v>
      </c>
      <c r="AS19" s="133">
        <v>181.05</v>
      </c>
      <c r="AT19" s="33">
        <v>-0.26</v>
      </c>
      <c r="AU19" s="33">
        <v>5250</v>
      </c>
      <c r="AV19" s="33">
        <v>-5.26</v>
      </c>
      <c r="AW19" s="33">
        <v>17.66</v>
      </c>
      <c r="AX19" s="33">
        <v>2.9999999999999997E-4</v>
      </c>
      <c r="AZ19" s="143">
        <f t="shared" si="52"/>
        <v>16685.714285714286</v>
      </c>
      <c r="BA19" s="33">
        <f t="shared" si="46"/>
        <v>99314.285714285681</v>
      </c>
      <c r="BB19" s="33"/>
      <c r="BC19" s="33">
        <f t="shared" si="47"/>
        <v>0</v>
      </c>
      <c r="BD19" s="33">
        <f t="shared" si="41"/>
        <v>0</v>
      </c>
      <c r="BE19" s="33">
        <f t="shared" si="41"/>
        <v>0</v>
      </c>
      <c r="BF19" s="33">
        <f t="shared" si="41"/>
        <v>0</v>
      </c>
      <c r="BG19" s="33">
        <f t="shared" si="41"/>
        <v>18000</v>
      </c>
      <c r="BH19" s="33">
        <f t="shared" si="41"/>
        <v>25500</v>
      </c>
      <c r="BI19" s="33">
        <f t="shared" si="41"/>
        <v>27014.285714285688</v>
      </c>
      <c r="BJ19" s="33">
        <f t="shared" si="41"/>
        <v>0</v>
      </c>
      <c r="BK19" s="33">
        <f t="shared" si="41"/>
        <v>0</v>
      </c>
      <c r="BL19" s="33">
        <f t="shared" si="41"/>
        <v>0</v>
      </c>
      <c r="BM19" s="33">
        <f t="shared" si="41"/>
        <v>0</v>
      </c>
      <c r="BN19" s="33">
        <f t="shared" si="41"/>
        <v>0</v>
      </c>
      <c r="BO19" s="33">
        <f t="shared" si="48"/>
        <v>0</v>
      </c>
      <c r="BP19" s="33">
        <f t="shared" si="42"/>
        <v>-13200</v>
      </c>
      <c r="BQ19" s="33">
        <f t="shared" si="42"/>
        <v>42000</v>
      </c>
      <c r="BR19" s="33">
        <f t="shared" si="42"/>
        <v>0</v>
      </c>
      <c r="BS19" s="33">
        <f t="shared" si="42"/>
        <v>0</v>
      </c>
      <c r="BT19" s="33">
        <f t="shared" si="42"/>
        <v>0</v>
      </c>
      <c r="BU19" s="33" t="e">
        <f t="shared" si="42"/>
        <v>#N/A</v>
      </c>
      <c r="BW19" s="143">
        <f t="shared" si="53"/>
        <v>39671.428571428572</v>
      </c>
      <c r="BX19" s="33">
        <f t="shared" si="49"/>
        <v>0</v>
      </c>
      <c r="BY19" s="33"/>
      <c r="BZ19" s="33" t="e">
        <f t="shared" si="50"/>
        <v>#N/A</v>
      </c>
      <c r="CA19" s="33" t="e">
        <f t="shared" si="43"/>
        <v>#N/A</v>
      </c>
      <c r="CB19" s="33" t="e">
        <f t="shared" si="43"/>
        <v>#N/A</v>
      </c>
      <c r="CC19" s="33" t="e">
        <f t="shared" si="43"/>
        <v>#N/A</v>
      </c>
      <c r="CD19" s="33">
        <f t="shared" si="43"/>
        <v>0</v>
      </c>
      <c r="CE19" s="33">
        <f t="shared" si="43"/>
        <v>0</v>
      </c>
      <c r="CF19" s="33">
        <f t="shared" si="43"/>
        <v>0</v>
      </c>
      <c r="CG19" s="33">
        <f t="shared" si="43"/>
        <v>0</v>
      </c>
      <c r="CH19" s="33">
        <f t="shared" si="43"/>
        <v>0</v>
      </c>
      <c r="CI19" s="33">
        <f t="shared" si="43"/>
        <v>0</v>
      </c>
      <c r="CJ19" s="33">
        <f t="shared" si="43"/>
        <v>0</v>
      </c>
      <c r="CK19" s="33">
        <f t="shared" si="43"/>
        <v>0</v>
      </c>
      <c r="CL19" s="33" t="e">
        <f t="shared" si="51"/>
        <v>#N/A</v>
      </c>
      <c r="CM19" s="33" t="e">
        <f t="shared" si="44"/>
        <v>#N/A</v>
      </c>
      <c r="CN19" s="33">
        <f t="shared" si="44"/>
        <v>0</v>
      </c>
      <c r="CO19" s="33">
        <f t="shared" si="44"/>
        <v>0</v>
      </c>
      <c r="CP19" s="33">
        <f t="shared" si="44"/>
        <v>0</v>
      </c>
      <c r="CQ19" s="33">
        <f t="shared" si="44"/>
        <v>0</v>
      </c>
      <c r="CR19" s="33" t="e">
        <f t="shared" si="44"/>
        <v>#N/A</v>
      </c>
      <c r="CS19" s="33"/>
      <c r="CT19" s="33"/>
      <c r="CU19" s="33"/>
      <c r="CV19">
        <f t="shared" si="45"/>
        <v>17650</v>
      </c>
      <c r="CW19">
        <f t="shared" si="34"/>
        <v>-21</v>
      </c>
      <c r="CX19">
        <f t="shared" si="35"/>
        <v>74</v>
      </c>
      <c r="CY19">
        <f t="shared" si="36"/>
        <v>53</v>
      </c>
      <c r="CZ19">
        <f t="shared" si="37"/>
        <v>2650</v>
      </c>
      <c r="DA19" s="33"/>
      <c r="DB19" s="33">
        <f t="shared" si="38"/>
        <v>-64.02320095451978</v>
      </c>
      <c r="DC19" s="33">
        <f t="shared" si="39"/>
        <v>35.78435962354979</v>
      </c>
      <c r="DD19" s="129">
        <f t="shared" si="40"/>
        <v>-28.23884133096999</v>
      </c>
      <c r="DE19" s="33"/>
      <c r="DF19" s="33"/>
      <c r="DG19" s="33"/>
      <c r="DH19" s="33"/>
      <c r="DI19" s="33"/>
      <c r="DJ19" s="33"/>
      <c r="DK19" s="33"/>
      <c r="DL19" s="33"/>
      <c r="DM19" s="33"/>
      <c r="DN19" s="33"/>
      <c r="DO19" s="33"/>
      <c r="DP19" s="33"/>
      <c r="DQ19" s="33"/>
      <c r="DR19" s="33"/>
      <c r="DS19" s="33"/>
      <c r="DT19" s="33"/>
      <c r="DU19" s="33"/>
      <c r="DV19" s="33"/>
    </row>
    <row r="20" spans="1:126">
      <c r="I20" s="34"/>
      <c r="J20" s="129"/>
      <c r="L20" s="34"/>
      <c r="M20" s="34"/>
      <c r="S20" s="68"/>
      <c r="T20" s="68"/>
      <c r="U20" s="68"/>
      <c r="V20" s="68"/>
      <c r="W20" s="68"/>
      <c r="X20" s="68"/>
      <c r="Y20" s="68"/>
      <c r="Z20" s="68"/>
      <c r="AA20" s="68"/>
      <c r="AB20" s="68"/>
      <c r="AC20" s="68"/>
      <c r="AD20" s="68"/>
      <c r="AE20" s="68"/>
      <c r="AF20" s="68"/>
      <c r="AG20" s="68"/>
      <c r="AI20" s="34" t="e">
        <f t="shared" si="10"/>
        <v>#VALUE!</v>
      </c>
      <c r="AJ20" t="e">
        <f t="shared" si="9"/>
        <v>#VALUE!</v>
      </c>
      <c r="AK20" s="151">
        <v>44616</v>
      </c>
      <c r="AL20" s="134">
        <f t="shared" si="11"/>
        <v>17100</v>
      </c>
      <c r="AM20" s="33">
        <v>9150</v>
      </c>
      <c r="AN20" s="132">
        <v>760.05</v>
      </c>
      <c r="AO20" s="33">
        <v>0.72</v>
      </c>
      <c r="AP20" s="134">
        <v>17100</v>
      </c>
      <c r="AQ20" s="33">
        <v>20.04</v>
      </c>
      <c r="AR20" t="s">
        <v>502</v>
      </c>
      <c r="AS20" s="133">
        <v>192.15</v>
      </c>
      <c r="AT20" s="33">
        <v>-0.28000000000000003</v>
      </c>
      <c r="AU20" s="33">
        <v>376500</v>
      </c>
      <c r="AV20" s="33">
        <v>-5.34</v>
      </c>
      <c r="AW20" s="33">
        <v>18.12</v>
      </c>
      <c r="AX20" s="33">
        <v>3.1E-4</v>
      </c>
      <c r="AZ20" s="143">
        <f t="shared" si="52"/>
        <v>16785.714285714286</v>
      </c>
      <c r="BA20" s="33">
        <f t="shared" si="46"/>
        <v>94314.285714285681</v>
      </c>
      <c r="BB20" s="33"/>
      <c r="BC20" s="33">
        <f t="shared" si="47"/>
        <v>0</v>
      </c>
      <c r="BD20" s="33">
        <f t="shared" si="41"/>
        <v>0</v>
      </c>
      <c r="BE20" s="33">
        <f t="shared" si="41"/>
        <v>0</v>
      </c>
      <c r="BF20" s="33">
        <f t="shared" si="41"/>
        <v>0</v>
      </c>
      <c r="BG20" s="33">
        <f t="shared" si="41"/>
        <v>18000</v>
      </c>
      <c r="BH20" s="33">
        <f t="shared" si="41"/>
        <v>25500</v>
      </c>
      <c r="BI20" s="33">
        <f t="shared" si="41"/>
        <v>22014.285714285688</v>
      </c>
      <c r="BJ20" s="33">
        <f t="shared" si="41"/>
        <v>0</v>
      </c>
      <c r="BK20" s="33">
        <f t="shared" si="41"/>
        <v>0</v>
      </c>
      <c r="BL20" s="33">
        <f t="shared" si="41"/>
        <v>0</v>
      </c>
      <c r="BM20" s="33">
        <f t="shared" si="41"/>
        <v>0</v>
      </c>
      <c r="BN20" s="33">
        <f t="shared" si="41"/>
        <v>0</v>
      </c>
      <c r="BO20" s="33">
        <f t="shared" si="48"/>
        <v>0</v>
      </c>
      <c r="BP20" s="33">
        <f t="shared" si="42"/>
        <v>-13200</v>
      </c>
      <c r="BQ20" s="33">
        <f t="shared" si="42"/>
        <v>42000</v>
      </c>
      <c r="BR20" s="33">
        <f t="shared" si="42"/>
        <v>0</v>
      </c>
      <c r="BS20" s="33">
        <f t="shared" si="42"/>
        <v>0</v>
      </c>
      <c r="BT20" s="33">
        <f t="shared" si="42"/>
        <v>0</v>
      </c>
      <c r="BU20" s="33" t="e">
        <f t="shared" si="42"/>
        <v>#N/A</v>
      </c>
      <c r="BW20" s="143">
        <f t="shared" si="53"/>
        <v>39721.428571428572</v>
      </c>
      <c r="BX20" s="33">
        <f t="shared" si="49"/>
        <v>0</v>
      </c>
      <c r="BY20" s="33"/>
      <c r="BZ20" s="33" t="e">
        <f t="shared" si="50"/>
        <v>#N/A</v>
      </c>
      <c r="CA20" s="33" t="e">
        <f t="shared" si="43"/>
        <v>#N/A</v>
      </c>
      <c r="CB20" s="33" t="e">
        <f t="shared" si="43"/>
        <v>#N/A</v>
      </c>
      <c r="CC20" s="33" t="e">
        <f t="shared" si="43"/>
        <v>#N/A</v>
      </c>
      <c r="CD20" s="33">
        <f t="shared" si="43"/>
        <v>0</v>
      </c>
      <c r="CE20" s="33">
        <f t="shared" si="43"/>
        <v>0</v>
      </c>
      <c r="CF20" s="33">
        <f t="shared" si="43"/>
        <v>0</v>
      </c>
      <c r="CG20" s="33">
        <f t="shared" si="43"/>
        <v>0</v>
      </c>
      <c r="CH20" s="33">
        <f t="shared" si="43"/>
        <v>0</v>
      </c>
      <c r="CI20" s="33">
        <f t="shared" si="43"/>
        <v>0</v>
      </c>
      <c r="CJ20" s="33">
        <f t="shared" si="43"/>
        <v>0</v>
      </c>
      <c r="CK20" s="33">
        <f t="shared" si="43"/>
        <v>0</v>
      </c>
      <c r="CL20" s="33" t="e">
        <f t="shared" si="51"/>
        <v>#N/A</v>
      </c>
      <c r="CM20" s="33" t="e">
        <f t="shared" si="44"/>
        <v>#N/A</v>
      </c>
      <c r="CN20" s="33">
        <f t="shared" si="44"/>
        <v>0</v>
      </c>
      <c r="CO20" s="33">
        <f t="shared" si="44"/>
        <v>0</v>
      </c>
      <c r="CP20" s="33">
        <f t="shared" si="44"/>
        <v>0</v>
      </c>
      <c r="CQ20" s="33">
        <f t="shared" si="44"/>
        <v>0</v>
      </c>
      <c r="CR20" s="33" t="e">
        <f t="shared" si="44"/>
        <v>#N/A</v>
      </c>
      <c r="CS20" s="33"/>
      <c r="CT20" s="33"/>
      <c r="CU20" s="33"/>
      <c r="CV20">
        <f t="shared" si="45"/>
        <v>17700</v>
      </c>
      <c r="CW20">
        <f t="shared" si="34"/>
        <v>-71</v>
      </c>
      <c r="CX20">
        <f t="shared" si="35"/>
        <v>74</v>
      </c>
      <c r="CY20">
        <f t="shared" si="36"/>
        <v>3</v>
      </c>
      <c r="CZ20">
        <f t="shared" si="37"/>
        <v>150</v>
      </c>
      <c r="DA20" s="33"/>
      <c r="DB20" s="33">
        <f t="shared" si="38"/>
        <v>-101.15431199855811</v>
      </c>
      <c r="DC20" s="33">
        <f t="shared" si="39"/>
        <v>48.653248579509636</v>
      </c>
      <c r="DD20" s="129">
        <f t="shared" si="40"/>
        <v>-52.501063419048478</v>
      </c>
      <c r="DE20" s="33"/>
      <c r="DF20" s="33"/>
      <c r="DG20" s="33"/>
      <c r="DH20" s="33"/>
      <c r="DI20" s="33"/>
      <c r="DJ20" s="33"/>
      <c r="DK20" s="33"/>
      <c r="DL20" s="33"/>
      <c r="DM20" s="33"/>
      <c r="DN20" s="33"/>
      <c r="DO20" s="33"/>
      <c r="DP20" s="33"/>
      <c r="DQ20" s="33"/>
      <c r="DR20" s="33"/>
      <c r="DS20" s="33"/>
      <c r="DT20" s="33"/>
      <c r="DU20" s="33"/>
      <c r="DV20" s="33"/>
    </row>
    <row r="21" spans="1:126">
      <c r="A21" s="73"/>
      <c r="I21" s="34"/>
      <c r="J21" s="129"/>
      <c r="L21" s="34"/>
      <c r="M21" s="34"/>
      <c r="S21" s="68"/>
      <c r="T21" s="68"/>
      <c r="U21" s="68"/>
      <c r="V21" s="68"/>
      <c r="W21" s="68"/>
      <c r="X21" s="68"/>
      <c r="Y21" s="68"/>
      <c r="Z21" s="68"/>
      <c r="AA21" s="68"/>
      <c r="AB21" s="68"/>
      <c r="AC21" s="68"/>
      <c r="AD21" s="68"/>
      <c r="AE21" s="68"/>
      <c r="AF21" s="68"/>
      <c r="AG21" s="68"/>
      <c r="AI21" s="34" t="e">
        <f t="shared" si="10"/>
        <v>#VALUE!</v>
      </c>
      <c r="AJ21" t="e">
        <f t="shared" si="9"/>
        <v>#VALUE!</v>
      </c>
      <c r="AK21" s="151">
        <v>44616</v>
      </c>
      <c r="AL21" s="134">
        <f t="shared" si="11"/>
        <v>17150</v>
      </c>
      <c r="AM21" s="33">
        <v>5400</v>
      </c>
      <c r="AN21" s="132">
        <v>745.7</v>
      </c>
      <c r="AO21" s="33">
        <v>0.71</v>
      </c>
      <c r="AP21" s="134">
        <v>17150</v>
      </c>
      <c r="AQ21" s="33">
        <v>19.559999999999999</v>
      </c>
      <c r="AR21" t="s">
        <v>502</v>
      </c>
      <c r="AS21" s="133">
        <v>198.65</v>
      </c>
      <c r="AT21" s="33">
        <v>-0.28999999999999998</v>
      </c>
      <c r="AU21" s="33">
        <v>7500</v>
      </c>
      <c r="AV21" s="33">
        <v>-5.32</v>
      </c>
      <c r="AW21" s="33">
        <v>18.5</v>
      </c>
      <c r="AX21" s="33">
        <v>3.2000000000000003E-4</v>
      </c>
      <c r="AZ21" s="143">
        <f t="shared" si="52"/>
        <v>16885.714285714286</v>
      </c>
      <c r="BA21" s="33">
        <f t="shared" si="46"/>
        <v>89314.285714285681</v>
      </c>
      <c r="BB21" s="33"/>
      <c r="BC21" s="33">
        <f t="shared" si="47"/>
        <v>0</v>
      </c>
      <c r="BD21" s="33">
        <f t="shared" si="41"/>
        <v>0</v>
      </c>
      <c r="BE21" s="33">
        <f t="shared" si="41"/>
        <v>0</v>
      </c>
      <c r="BF21" s="33">
        <f t="shared" si="41"/>
        <v>0</v>
      </c>
      <c r="BG21" s="33">
        <f t="shared" si="41"/>
        <v>18000</v>
      </c>
      <c r="BH21" s="33">
        <f t="shared" si="41"/>
        <v>25500</v>
      </c>
      <c r="BI21" s="33">
        <f t="shared" si="41"/>
        <v>17014.285714285688</v>
      </c>
      <c r="BJ21" s="33">
        <f t="shared" si="41"/>
        <v>0</v>
      </c>
      <c r="BK21" s="33">
        <f t="shared" si="41"/>
        <v>0</v>
      </c>
      <c r="BL21" s="33">
        <f t="shared" si="41"/>
        <v>0</v>
      </c>
      <c r="BM21" s="33">
        <f t="shared" si="41"/>
        <v>0</v>
      </c>
      <c r="BN21" s="33">
        <f t="shared" si="41"/>
        <v>0</v>
      </c>
      <c r="BO21" s="33">
        <f t="shared" si="48"/>
        <v>0</v>
      </c>
      <c r="BP21" s="33">
        <f t="shared" si="42"/>
        <v>-13200</v>
      </c>
      <c r="BQ21" s="33">
        <f t="shared" si="42"/>
        <v>42000</v>
      </c>
      <c r="BR21" s="33">
        <f t="shared" si="42"/>
        <v>0</v>
      </c>
      <c r="BS21" s="33">
        <f t="shared" si="42"/>
        <v>0</v>
      </c>
      <c r="BT21" s="33">
        <f t="shared" si="42"/>
        <v>0</v>
      </c>
      <c r="BU21" s="33" t="e">
        <f t="shared" si="42"/>
        <v>#N/A</v>
      </c>
      <c r="BW21" s="143">
        <f t="shared" si="53"/>
        <v>39771.428571428572</v>
      </c>
      <c r="BX21" s="33">
        <f t="shared" si="49"/>
        <v>0</v>
      </c>
      <c r="BY21" s="33"/>
      <c r="BZ21" s="33" t="e">
        <f t="shared" si="50"/>
        <v>#N/A</v>
      </c>
      <c r="CA21" s="33" t="e">
        <f t="shared" si="43"/>
        <v>#N/A</v>
      </c>
      <c r="CB21" s="33" t="e">
        <f t="shared" si="43"/>
        <v>#N/A</v>
      </c>
      <c r="CC21" s="33" t="e">
        <f t="shared" si="43"/>
        <v>#N/A</v>
      </c>
      <c r="CD21" s="33">
        <f t="shared" si="43"/>
        <v>0</v>
      </c>
      <c r="CE21" s="33">
        <f t="shared" si="43"/>
        <v>0</v>
      </c>
      <c r="CF21" s="33">
        <f t="shared" si="43"/>
        <v>0</v>
      </c>
      <c r="CG21" s="33">
        <f t="shared" si="43"/>
        <v>0</v>
      </c>
      <c r="CH21" s="33">
        <f t="shared" si="43"/>
        <v>0</v>
      </c>
      <c r="CI21" s="33">
        <f t="shared" si="43"/>
        <v>0</v>
      </c>
      <c r="CJ21" s="33">
        <f t="shared" si="43"/>
        <v>0</v>
      </c>
      <c r="CK21" s="33">
        <f t="shared" si="43"/>
        <v>0</v>
      </c>
      <c r="CL21" s="33" t="e">
        <f t="shared" si="51"/>
        <v>#N/A</v>
      </c>
      <c r="CM21" s="33" t="e">
        <f t="shared" si="44"/>
        <v>#N/A</v>
      </c>
      <c r="CN21" s="33">
        <f t="shared" si="44"/>
        <v>0</v>
      </c>
      <c r="CO21" s="33">
        <f t="shared" si="44"/>
        <v>0</v>
      </c>
      <c r="CP21" s="33">
        <f t="shared" si="44"/>
        <v>0</v>
      </c>
      <c r="CQ21" s="33">
        <f t="shared" si="44"/>
        <v>0</v>
      </c>
      <c r="CR21" s="33" t="e">
        <f t="shared" si="44"/>
        <v>#N/A</v>
      </c>
      <c r="CS21" s="33"/>
      <c r="CT21" s="33"/>
      <c r="CU21" s="33"/>
      <c r="CV21">
        <f t="shared" si="45"/>
        <v>17750</v>
      </c>
      <c r="CW21">
        <f t="shared" si="34"/>
        <v>-121</v>
      </c>
      <c r="CX21">
        <f t="shared" si="35"/>
        <v>74</v>
      </c>
      <c r="CY21">
        <f t="shared" si="36"/>
        <v>-47</v>
      </c>
      <c r="CZ21">
        <f t="shared" si="37"/>
        <v>-2350</v>
      </c>
      <c r="DA21" s="33"/>
      <c r="DB21" s="33">
        <f t="shared" si="38"/>
        <v>-141.93737702996077</v>
      </c>
      <c r="DC21" s="33">
        <f t="shared" si="39"/>
        <v>57.870183548106525</v>
      </c>
      <c r="DD21" s="129">
        <f t="shared" si="40"/>
        <v>-84.067193481854247</v>
      </c>
      <c r="DE21" s="33"/>
      <c r="DF21" s="33"/>
      <c r="DG21" s="33"/>
      <c r="DH21" s="33"/>
      <c r="DI21" s="33"/>
      <c r="DJ21" s="33"/>
      <c r="DK21" s="33"/>
      <c r="DL21" s="33"/>
      <c r="DM21" s="33"/>
      <c r="DN21" s="33"/>
      <c r="DO21" s="33"/>
      <c r="DP21" s="33"/>
      <c r="DQ21" s="33"/>
      <c r="DR21" s="33"/>
      <c r="DS21" s="33"/>
      <c r="DT21" s="33"/>
      <c r="DU21" s="33"/>
      <c r="DV21" s="33"/>
    </row>
    <row r="22" spans="1:126">
      <c r="A22" s="73"/>
      <c r="I22" s="34"/>
      <c r="J22" s="129"/>
      <c r="L22" s="34"/>
      <c r="M22" s="34"/>
      <c r="S22" s="68"/>
      <c r="T22" s="68"/>
      <c r="U22" s="68"/>
      <c r="V22" s="68"/>
      <c r="W22" s="68"/>
      <c r="X22" s="68"/>
      <c r="Y22" s="68"/>
      <c r="Z22" s="68"/>
      <c r="AA22" s="68"/>
      <c r="AB22" s="68"/>
      <c r="AC22" s="68"/>
      <c r="AD22" s="68"/>
      <c r="AE22" s="68"/>
      <c r="AF22" s="68"/>
      <c r="AG22" s="68"/>
      <c r="AI22" s="34" t="e">
        <f t="shared" si="10"/>
        <v>#VALUE!</v>
      </c>
      <c r="AJ22" t="e">
        <f t="shared" si="9"/>
        <v>#VALUE!</v>
      </c>
      <c r="AK22" s="151">
        <v>44616</v>
      </c>
      <c r="AL22" s="134">
        <f t="shared" si="11"/>
        <v>17200</v>
      </c>
      <c r="AM22" s="33">
        <v>31050</v>
      </c>
      <c r="AN22" s="132">
        <v>706.75</v>
      </c>
      <c r="AO22" s="33">
        <v>0.7</v>
      </c>
      <c r="AP22" s="134">
        <v>17200</v>
      </c>
      <c r="AQ22" s="33">
        <v>19.22</v>
      </c>
      <c r="AR22" t="s">
        <v>502</v>
      </c>
      <c r="AS22" s="133">
        <v>208.15</v>
      </c>
      <c r="AT22" s="33">
        <v>-0.3</v>
      </c>
      <c r="AU22" s="33">
        <v>626350</v>
      </c>
      <c r="AV22" s="33">
        <v>-5.34</v>
      </c>
      <c r="AW22" s="33">
        <v>18.899999999999999</v>
      </c>
      <c r="AX22" s="33">
        <v>3.4000000000000002E-4</v>
      </c>
      <c r="AZ22" s="143">
        <f t="shared" si="52"/>
        <v>16985.714285714286</v>
      </c>
      <c r="BA22" s="33">
        <f t="shared" si="46"/>
        <v>84314.285714285681</v>
      </c>
      <c r="BB22" s="33"/>
      <c r="BC22" s="33">
        <f t="shared" si="47"/>
        <v>0</v>
      </c>
      <c r="BD22" s="33">
        <f t="shared" si="41"/>
        <v>0</v>
      </c>
      <c r="BE22" s="33">
        <f t="shared" si="41"/>
        <v>0</v>
      </c>
      <c r="BF22" s="33">
        <f t="shared" si="41"/>
        <v>0</v>
      </c>
      <c r="BG22" s="33">
        <f t="shared" si="41"/>
        <v>18000</v>
      </c>
      <c r="BH22" s="33">
        <f t="shared" si="41"/>
        <v>25500</v>
      </c>
      <c r="BI22" s="33">
        <f t="shared" si="41"/>
        <v>12014.285714285688</v>
      </c>
      <c r="BJ22" s="33">
        <f t="shared" si="41"/>
        <v>0</v>
      </c>
      <c r="BK22" s="33">
        <f t="shared" si="41"/>
        <v>0</v>
      </c>
      <c r="BL22" s="33">
        <f t="shared" si="41"/>
        <v>0</v>
      </c>
      <c r="BM22" s="33">
        <f t="shared" si="41"/>
        <v>0</v>
      </c>
      <c r="BN22" s="33">
        <f t="shared" si="41"/>
        <v>0</v>
      </c>
      <c r="BO22" s="33">
        <f t="shared" si="48"/>
        <v>0</v>
      </c>
      <c r="BP22" s="33">
        <f t="shared" si="42"/>
        <v>-13200</v>
      </c>
      <c r="BQ22" s="33">
        <f t="shared" si="42"/>
        <v>42000</v>
      </c>
      <c r="BR22" s="33">
        <f t="shared" si="42"/>
        <v>0</v>
      </c>
      <c r="BS22" s="33">
        <f t="shared" si="42"/>
        <v>0</v>
      </c>
      <c r="BT22" s="33">
        <f t="shared" si="42"/>
        <v>0</v>
      </c>
      <c r="BU22" s="33" t="e">
        <f t="shared" si="42"/>
        <v>#N/A</v>
      </c>
      <c r="BW22" s="143">
        <f t="shared" si="53"/>
        <v>39821.428571428572</v>
      </c>
      <c r="BX22" s="33">
        <f t="shared" si="49"/>
        <v>0</v>
      </c>
      <c r="BY22" s="33"/>
      <c r="BZ22" s="33" t="e">
        <f t="shared" si="50"/>
        <v>#N/A</v>
      </c>
      <c r="CA22" s="33" t="e">
        <f t="shared" si="43"/>
        <v>#N/A</v>
      </c>
      <c r="CB22" s="33" t="e">
        <f t="shared" si="43"/>
        <v>#N/A</v>
      </c>
      <c r="CC22" s="33" t="e">
        <f t="shared" si="43"/>
        <v>#N/A</v>
      </c>
      <c r="CD22" s="33">
        <f t="shared" si="43"/>
        <v>0</v>
      </c>
      <c r="CE22" s="33">
        <f t="shared" si="43"/>
        <v>0</v>
      </c>
      <c r="CF22" s="33">
        <f t="shared" si="43"/>
        <v>0</v>
      </c>
      <c r="CG22" s="33">
        <f t="shared" si="43"/>
        <v>0</v>
      </c>
      <c r="CH22" s="33">
        <f t="shared" si="43"/>
        <v>0</v>
      </c>
      <c r="CI22" s="33">
        <f t="shared" si="43"/>
        <v>0</v>
      </c>
      <c r="CJ22" s="33">
        <f t="shared" si="43"/>
        <v>0</v>
      </c>
      <c r="CK22" s="33">
        <f t="shared" si="43"/>
        <v>0</v>
      </c>
      <c r="CL22" s="33" t="e">
        <f t="shared" si="51"/>
        <v>#N/A</v>
      </c>
      <c r="CM22" s="33" t="e">
        <f t="shared" si="44"/>
        <v>#N/A</v>
      </c>
      <c r="CN22" s="33">
        <f t="shared" si="44"/>
        <v>0</v>
      </c>
      <c r="CO22" s="33">
        <f t="shared" si="44"/>
        <v>0</v>
      </c>
      <c r="CP22" s="33">
        <f t="shared" si="44"/>
        <v>0</v>
      </c>
      <c r="CQ22" s="33">
        <f t="shared" si="44"/>
        <v>0</v>
      </c>
      <c r="CR22" s="33" t="e">
        <f t="shared" si="44"/>
        <v>#N/A</v>
      </c>
      <c r="CS22" s="33"/>
      <c r="CT22" s="33"/>
      <c r="CU22" s="33"/>
      <c r="CV22">
        <f t="shared" si="45"/>
        <v>17800</v>
      </c>
      <c r="CW22">
        <f t="shared" si="34"/>
        <v>-171</v>
      </c>
      <c r="CX22">
        <f t="shared" si="35"/>
        <v>74</v>
      </c>
      <c r="CY22">
        <f t="shared" si="36"/>
        <v>-97</v>
      </c>
      <c r="CZ22">
        <f t="shared" si="37"/>
        <v>-4850</v>
      </c>
      <c r="DA22" s="33"/>
      <c r="DB22" s="33">
        <f t="shared" si="38"/>
        <v>-185.6400836858229</v>
      </c>
      <c r="DC22" s="33">
        <f t="shared" si="39"/>
        <v>64.167476892246668</v>
      </c>
      <c r="DD22" s="129">
        <f t="shared" si="40"/>
        <v>-121.47260679357623</v>
      </c>
      <c r="DE22" s="33"/>
      <c r="DF22" s="33"/>
      <c r="DG22" s="33"/>
      <c r="DH22" s="33"/>
      <c r="DI22" s="33"/>
      <c r="DJ22" s="33"/>
      <c r="DK22" s="33"/>
      <c r="DL22" s="33"/>
      <c r="DM22" s="33"/>
      <c r="DN22" s="33"/>
      <c r="DO22" s="33"/>
      <c r="DP22" s="33"/>
      <c r="DQ22" s="33"/>
      <c r="DR22" s="33"/>
      <c r="DS22" s="33"/>
      <c r="DT22" s="33"/>
      <c r="DU22" s="33"/>
      <c r="DV22" s="33"/>
    </row>
    <row r="23" spans="1:126">
      <c r="A23" s="73" t="s">
        <v>566</v>
      </c>
      <c r="I23" s="34"/>
      <c r="J23" s="129"/>
      <c r="L23" s="34"/>
      <c r="M23" s="34"/>
      <c r="S23" s="68"/>
      <c r="T23" s="68"/>
      <c r="U23" s="68"/>
      <c r="V23" s="68"/>
      <c r="W23" s="68"/>
      <c r="X23" s="68"/>
      <c r="Y23" s="68"/>
      <c r="Z23" s="68"/>
      <c r="AA23" s="68"/>
      <c r="AB23" s="68"/>
      <c r="AC23" s="68"/>
      <c r="AD23" s="68"/>
      <c r="AE23" s="68"/>
      <c r="AF23" s="68"/>
      <c r="AG23" s="68"/>
      <c r="AI23" s="34" t="e">
        <f t="shared" si="10"/>
        <v>#VALUE!</v>
      </c>
      <c r="AJ23" t="e">
        <f t="shared" si="9"/>
        <v>#VALUE!</v>
      </c>
      <c r="AK23" s="151">
        <v>44616</v>
      </c>
      <c r="AL23" s="134">
        <f t="shared" si="11"/>
        <v>17250</v>
      </c>
      <c r="AM23" s="33">
        <v>1050</v>
      </c>
      <c r="AN23" s="132">
        <v>649.95000000000005</v>
      </c>
      <c r="AO23" s="33">
        <v>0.68</v>
      </c>
      <c r="AP23" s="134">
        <v>17250</v>
      </c>
      <c r="AQ23" s="33">
        <v>19.100000000000001</v>
      </c>
      <c r="AR23" t="s">
        <v>502</v>
      </c>
      <c r="AS23" s="133">
        <v>222.5</v>
      </c>
      <c r="AT23" s="33">
        <v>-0.32</v>
      </c>
      <c r="AU23" s="33">
        <v>8800</v>
      </c>
      <c r="AV23" s="33">
        <v>-5.43</v>
      </c>
      <c r="AW23" s="33">
        <v>19.34</v>
      </c>
      <c r="AX23" s="33">
        <v>3.5E-4</v>
      </c>
      <c r="AZ23" s="143">
        <f t="shared" si="52"/>
        <v>17085.714285714286</v>
      </c>
      <c r="BA23" s="33">
        <f t="shared" si="46"/>
        <v>79314.285714285681</v>
      </c>
      <c r="BB23" s="33"/>
      <c r="BC23" s="33">
        <f t="shared" si="47"/>
        <v>0</v>
      </c>
      <c r="BD23" s="33">
        <f t="shared" si="41"/>
        <v>0</v>
      </c>
      <c r="BE23" s="33">
        <f t="shared" si="41"/>
        <v>0</v>
      </c>
      <c r="BF23" s="33">
        <f t="shared" si="41"/>
        <v>0</v>
      </c>
      <c r="BG23" s="33">
        <f t="shared" si="41"/>
        <v>18000</v>
      </c>
      <c r="BH23" s="33">
        <f t="shared" si="41"/>
        <v>25500</v>
      </c>
      <c r="BI23" s="33">
        <f t="shared" si="41"/>
        <v>7014.2857142856883</v>
      </c>
      <c r="BJ23" s="33">
        <f t="shared" si="41"/>
        <v>0</v>
      </c>
      <c r="BK23" s="33">
        <f t="shared" si="41"/>
        <v>0</v>
      </c>
      <c r="BL23" s="33">
        <f t="shared" si="41"/>
        <v>0</v>
      </c>
      <c r="BM23" s="33">
        <f t="shared" si="41"/>
        <v>0</v>
      </c>
      <c r="BN23" s="33">
        <f t="shared" si="41"/>
        <v>0</v>
      </c>
      <c r="BO23" s="33">
        <f>IF(ISBLANK(BO$2),0,(MAX($AZ23-BO$2,0)-IF(ISNUMBER(BO$4),BO$4,BO$3))*BO$5)</f>
        <v>0</v>
      </c>
      <c r="BP23" s="33">
        <f t="shared" si="42"/>
        <v>-13200</v>
      </c>
      <c r="BQ23" s="33">
        <f t="shared" si="42"/>
        <v>42000</v>
      </c>
      <c r="BR23" s="33">
        <f t="shared" si="42"/>
        <v>0</v>
      </c>
      <c r="BS23" s="33">
        <f t="shared" si="42"/>
        <v>0</v>
      </c>
      <c r="BT23" s="33">
        <f t="shared" si="42"/>
        <v>0</v>
      </c>
      <c r="BU23" s="33" t="e">
        <f t="shared" si="42"/>
        <v>#N/A</v>
      </c>
      <c r="BW23" s="143">
        <f t="shared" si="53"/>
        <v>39871.428571428572</v>
      </c>
      <c r="BX23" s="33">
        <f t="shared" si="49"/>
        <v>0</v>
      </c>
      <c r="BY23" s="33"/>
      <c r="BZ23" s="33" t="e">
        <f t="shared" si="50"/>
        <v>#N/A</v>
      </c>
      <c r="CA23" s="33" t="e">
        <f t="shared" si="43"/>
        <v>#N/A</v>
      </c>
      <c r="CB23" s="33" t="e">
        <f t="shared" si="43"/>
        <v>#N/A</v>
      </c>
      <c r="CC23" s="33" t="e">
        <f t="shared" si="43"/>
        <v>#N/A</v>
      </c>
      <c r="CD23" s="33">
        <f t="shared" si="43"/>
        <v>0</v>
      </c>
      <c r="CE23" s="33">
        <f t="shared" si="43"/>
        <v>0</v>
      </c>
      <c r="CF23" s="33">
        <f t="shared" si="43"/>
        <v>0</v>
      </c>
      <c r="CG23" s="33">
        <f t="shared" si="43"/>
        <v>0</v>
      </c>
      <c r="CH23" s="33">
        <f t="shared" si="43"/>
        <v>0</v>
      </c>
      <c r="CI23" s="33">
        <f t="shared" si="43"/>
        <v>0</v>
      </c>
      <c r="CJ23" s="33">
        <f t="shared" si="43"/>
        <v>0</v>
      </c>
      <c r="CK23" s="33">
        <f t="shared" si="43"/>
        <v>0</v>
      </c>
      <c r="CL23" s="33" t="e">
        <f t="shared" si="51"/>
        <v>#N/A</v>
      </c>
      <c r="CM23" s="33" t="e">
        <f t="shared" si="44"/>
        <v>#N/A</v>
      </c>
      <c r="CN23" s="33">
        <f t="shared" si="44"/>
        <v>0</v>
      </c>
      <c r="CO23" s="33">
        <f t="shared" si="44"/>
        <v>0</v>
      </c>
      <c r="CP23" s="33">
        <f t="shared" si="44"/>
        <v>0</v>
      </c>
      <c r="CQ23" s="33">
        <f t="shared" si="44"/>
        <v>0</v>
      </c>
      <c r="CR23" s="33" t="e">
        <f t="shared" si="44"/>
        <v>#N/A</v>
      </c>
      <c r="CS23" s="33"/>
      <c r="CT23" s="33"/>
      <c r="CU23" s="33"/>
      <c r="CV23">
        <f t="shared" si="45"/>
        <v>17850</v>
      </c>
      <c r="CW23">
        <f t="shared" si="34"/>
        <v>-221</v>
      </c>
      <c r="CX23">
        <f t="shared" si="35"/>
        <v>74</v>
      </c>
      <c r="CY23">
        <f t="shared" si="36"/>
        <v>-147</v>
      </c>
      <c r="CZ23">
        <f t="shared" si="37"/>
        <v>-7350</v>
      </c>
      <c r="DA23" s="33"/>
      <c r="DB23" s="33">
        <f t="shared" si="38"/>
        <v>-231.54121976206079</v>
      </c>
      <c r="DC23" s="33">
        <f t="shared" si="39"/>
        <v>68.26634081600946</v>
      </c>
      <c r="DD23" s="129">
        <f t="shared" si="40"/>
        <v>-163.27487894605133</v>
      </c>
      <c r="DE23" s="33"/>
      <c r="DF23" s="33"/>
      <c r="DG23" s="33"/>
      <c r="DH23" s="33"/>
      <c r="DI23" s="33"/>
      <c r="DJ23" s="33"/>
      <c r="DK23" s="33"/>
      <c r="DL23" s="33"/>
      <c r="DM23" s="33"/>
      <c r="DN23" s="33"/>
      <c r="DO23" s="33"/>
      <c r="DP23" s="33"/>
      <c r="DQ23" s="33"/>
      <c r="DR23" s="33"/>
      <c r="DS23" s="33"/>
      <c r="DT23" s="33"/>
      <c r="DU23" s="33"/>
      <c r="DV23" s="33"/>
    </row>
    <row r="24" spans="1:126">
      <c r="A24" s="73"/>
      <c r="I24" s="34"/>
      <c r="J24" s="129"/>
      <c r="L24" s="34"/>
      <c r="M24" s="34"/>
      <c r="S24" s="68"/>
      <c r="T24" s="68"/>
      <c r="U24" s="68"/>
      <c r="V24" s="68"/>
      <c r="W24" s="68"/>
      <c r="X24" s="68"/>
      <c r="Y24" s="68"/>
      <c r="Z24" s="68"/>
      <c r="AA24" s="68"/>
      <c r="AB24" s="68"/>
      <c r="AC24" s="68"/>
      <c r="AD24" s="68"/>
      <c r="AE24" s="68"/>
      <c r="AF24" s="68"/>
      <c r="AG24" s="68"/>
      <c r="AI24" s="34" t="e">
        <f t="shared" si="10"/>
        <v>#VALUE!</v>
      </c>
      <c r="AJ24" t="e">
        <f t="shared" si="9"/>
        <v>#VALUE!</v>
      </c>
      <c r="AK24" s="151">
        <v>44616</v>
      </c>
      <c r="AL24" s="134">
        <f t="shared" si="11"/>
        <v>17300</v>
      </c>
      <c r="AM24" s="33">
        <v>28800</v>
      </c>
      <c r="AN24" s="132">
        <v>632</v>
      </c>
      <c r="AO24" s="33">
        <v>0.66</v>
      </c>
      <c r="AP24" s="134">
        <v>17300</v>
      </c>
      <c r="AQ24" s="33">
        <v>18.920000000000002</v>
      </c>
      <c r="AR24" t="s">
        <v>502</v>
      </c>
      <c r="AS24" s="133">
        <v>236.7</v>
      </c>
      <c r="AT24" s="33">
        <v>-0.34</v>
      </c>
      <c r="AU24" s="33">
        <v>573300</v>
      </c>
      <c r="AV24" s="33">
        <v>-5.49</v>
      </c>
      <c r="AW24" s="33">
        <v>19.739999999999998</v>
      </c>
      <c r="AX24" s="33">
        <v>3.6000000000000002E-4</v>
      </c>
      <c r="AZ24" s="143">
        <f t="shared" si="52"/>
        <v>17185.714285714286</v>
      </c>
      <c r="BA24" s="33">
        <f t="shared" si="46"/>
        <v>74314.285714285681</v>
      </c>
      <c r="BB24" s="33"/>
      <c r="BC24" s="33">
        <f t="shared" si="47"/>
        <v>0</v>
      </c>
      <c r="BD24" s="33">
        <f t="shared" si="41"/>
        <v>0</v>
      </c>
      <c r="BE24" s="33">
        <f t="shared" si="41"/>
        <v>0</v>
      </c>
      <c r="BF24" s="33">
        <f t="shared" si="41"/>
        <v>0</v>
      </c>
      <c r="BG24" s="33">
        <f t="shared" si="41"/>
        <v>18000</v>
      </c>
      <c r="BH24" s="33">
        <f t="shared" si="41"/>
        <v>25500</v>
      </c>
      <c r="BI24" s="33">
        <f t="shared" si="41"/>
        <v>2014.2857142856883</v>
      </c>
      <c r="BJ24" s="33">
        <f t="shared" si="41"/>
        <v>0</v>
      </c>
      <c r="BK24" s="33">
        <f t="shared" si="41"/>
        <v>0</v>
      </c>
      <c r="BL24" s="33">
        <f t="shared" si="41"/>
        <v>0</v>
      </c>
      <c r="BM24" s="33">
        <f t="shared" si="41"/>
        <v>0</v>
      </c>
      <c r="BN24" s="33">
        <f t="shared" si="41"/>
        <v>0</v>
      </c>
      <c r="BO24" s="33">
        <f t="shared" si="48"/>
        <v>0</v>
      </c>
      <c r="BP24" s="33">
        <f t="shared" si="42"/>
        <v>-13200</v>
      </c>
      <c r="BQ24" s="33">
        <f t="shared" si="42"/>
        <v>42000</v>
      </c>
      <c r="BR24" s="33">
        <f t="shared" si="42"/>
        <v>0</v>
      </c>
      <c r="BS24" s="33">
        <f t="shared" si="42"/>
        <v>0</v>
      </c>
      <c r="BT24" s="33">
        <f t="shared" si="42"/>
        <v>0</v>
      </c>
      <c r="BU24" s="33" t="e">
        <f t="shared" si="42"/>
        <v>#N/A</v>
      </c>
      <c r="BW24" s="143">
        <f t="shared" si="53"/>
        <v>39921.428571428572</v>
      </c>
      <c r="BX24" s="33">
        <f t="shared" si="49"/>
        <v>0</v>
      </c>
      <c r="BY24" s="33"/>
      <c r="BZ24" s="33" t="e">
        <f t="shared" si="50"/>
        <v>#N/A</v>
      </c>
      <c r="CA24" s="33" t="e">
        <f t="shared" si="43"/>
        <v>#N/A</v>
      </c>
      <c r="CB24" s="33" t="e">
        <f t="shared" si="43"/>
        <v>#N/A</v>
      </c>
      <c r="CC24" s="33" t="e">
        <f t="shared" si="43"/>
        <v>#N/A</v>
      </c>
      <c r="CD24" s="33">
        <f t="shared" si="43"/>
        <v>0</v>
      </c>
      <c r="CE24" s="33">
        <f t="shared" si="43"/>
        <v>0</v>
      </c>
      <c r="CF24" s="33">
        <f t="shared" si="43"/>
        <v>0</v>
      </c>
      <c r="CG24" s="33">
        <f t="shared" si="43"/>
        <v>0</v>
      </c>
      <c r="CH24" s="33">
        <f t="shared" si="43"/>
        <v>0</v>
      </c>
      <c r="CI24" s="33">
        <f t="shared" si="43"/>
        <v>0</v>
      </c>
      <c r="CJ24" s="33">
        <f t="shared" si="43"/>
        <v>0</v>
      </c>
      <c r="CK24" s="33">
        <f t="shared" si="43"/>
        <v>0</v>
      </c>
      <c r="CL24" s="33" t="e">
        <f t="shared" si="51"/>
        <v>#N/A</v>
      </c>
      <c r="CM24" s="33" t="e">
        <f t="shared" si="44"/>
        <v>#N/A</v>
      </c>
      <c r="CN24" s="33">
        <f t="shared" si="44"/>
        <v>0</v>
      </c>
      <c r="CO24" s="33">
        <f t="shared" si="44"/>
        <v>0</v>
      </c>
      <c r="CP24" s="33">
        <f t="shared" si="44"/>
        <v>0</v>
      </c>
      <c r="CQ24" s="33">
        <f t="shared" si="44"/>
        <v>0</v>
      </c>
      <c r="CR24" s="33" t="e">
        <f t="shared" si="44"/>
        <v>#N/A</v>
      </c>
      <c r="CS24" s="33"/>
      <c r="CT24" s="33"/>
      <c r="CU24" s="33"/>
      <c r="CV24">
        <f t="shared" si="45"/>
        <v>17900</v>
      </c>
      <c r="CW24">
        <f t="shared" si="34"/>
        <v>-271</v>
      </c>
      <c r="CX24">
        <f t="shared" si="35"/>
        <v>74</v>
      </c>
      <c r="CY24">
        <f t="shared" si="36"/>
        <v>-197</v>
      </c>
      <c r="CZ24">
        <f t="shared" si="37"/>
        <v>-9850</v>
      </c>
      <c r="DA24" s="33"/>
      <c r="DB24" s="33">
        <f t="shared" si="38"/>
        <v>-279.00222839285198</v>
      </c>
      <c r="DC24" s="33">
        <f t="shared" si="39"/>
        <v>70.805332185216457</v>
      </c>
      <c r="DD24" s="129">
        <f t="shared" si="40"/>
        <v>-208.19689620763552</v>
      </c>
      <c r="DE24" s="33"/>
      <c r="DF24" s="33"/>
      <c r="DG24" s="33"/>
      <c r="DH24" s="33"/>
      <c r="DI24" s="33"/>
      <c r="DJ24" s="33"/>
      <c r="DK24" s="33"/>
      <c r="DL24" s="33"/>
      <c r="DM24" s="33"/>
      <c r="DN24" s="33"/>
      <c r="DO24" s="33"/>
      <c r="DP24" s="33"/>
      <c r="DQ24" s="33"/>
      <c r="DR24" s="33"/>
      <c r="DS24" s="33"/>
      <c r="DT24" s="33"/>
      <c r="DU24" s="33"/>
      <c r="DV24" s="33"/>
    </row>
    <row r="25" spans="1:126">
      <c r="I25" s="34"/>
      <c r="J25" s="129"/>
      <c r="L25" s="34"/>
      <c r="M25" s="34"/>
      <c r="S25" s="68"/>
      <c r="T25" s="68"/>
      <c r="U25" s="68"/>
      <c r="V25" s="68"/>
      <c r="W25" s="68"/>
      <c r="X25" s="68"/>
      <c r="Y25" s="68"/>
      <c r="Z25" s="68"/>
      <c r="AA25" s="68"/>
      <c r="AB25" s="68"/>
      <c r="AC25" s="68"/>
      <c r="AD25" s="68"/>
      <c r="AE25" s="68"/>
      <c r="AF25" s="68"/>
      <c r="AG25" s="68"/>
      <c r="AI25" s="34" t="e">
        <f t="shared" si="10"/>
        <v>#VALUE!</v>
      </c>
      <c r="AJ25" t="e">
        <f t="shared" si="9"/>
        <v>#VALUE!</v>
      </c>
      <c r="AK25" s="151">
        <v>44616</v>
      </c>
      <c r="AL25" s="134">
        <f t="shared" si="11"/>
        <v>17350</v>
      </c>
      <c r="AM25" s="33">
        <v>2250</v>
      </c>
      <c r="AN25" s="132">
        <v>599.15</v>
      </c>
      <c r="AO25" s="33">
        <v>0.64</v>
      </c>
      <c r="AP25" s="134">
        <v>17350</v>
      </c>
      <c r="AQ25" s="33">
        <v>18.96</v>
      </c>
      <c r="AR25" t="s">
        <v>502</v>
      </c>
      <c r="AS25" s="133">
        <v>255.8</v>
      </c>
      <c r="AT25" s="33">
        <v>-0.36</v>
      </c>
      <c r="AU25" s="33">
        <v>9400</v>
      </c>
      <c r="AV25" s="33">
        <v>-5.61</v>
      </c>
      <c r="AW25" s="33">
        <v>20.14</v>
      </c>
      <c r="AX25" s="33">
        <v>3.6000000000000002E-4</v>
      </c>
      <c r="AZ25" s="143">
        <f t="shared" si="52"/>
        <v>17285.714285714286</v>
      </c>
      <c r="BA25" s="33">
        <f t="shared" si="46"/>
        <v>69314.285714285681</v>
      </c>
      <c r="BB25" s="33"/>
      <c r="BC25" s="33">
        <f t="shared" si="47"/>
        <v>0</v>
      </c>
      <c r="BD25" s="33">
        <f t="shared" si="47"/>
        <v>0</v>
      </c>
      <c r="BE25" s="33">
        <f t="shared" si="47"/>
        <v>0</v>
      </c>
      <c r="BF25" s="33">
        <f t="shared" si="47"/>
        <v>0</v>
      </c>
      <c r="BG25" s="33">
        <f t="shared" si="47"/>
        <v>18000</v>
      </c>
      <c r="BH25" s="33">
        <f t="shared" si="47"/>
        <v>25500</v>
      </c>
      <c r="BI25" s="33">
        <f t="shared" si="47"/>
        <v>-2985.7142857143117</v>
      </c>
      <c r="BJ25" s="33">
        <f t="shared" si="47"/>
        <v>0</v>
      </c>
      <c r="BK25" s="33">
        <f t="shared" si="47"/>
        <v>0</v>
      </c>
      <c r="BL25" s="33">
        <f t="shared" si="47"/>
        <v>0</v>
      </c>
      <c r="BM25" s="33">
        <f t="shared" si="47"/>
        <v>0</v>
      </c>
      <c r="BN25" s="33">
        <f t="shared" si="47"/>
        <v>0</v>
      </c>
      <c r="BO25" s="33">
        <f t="shared" si="48"/>
        <v>0</v>
      </c>
      <c r="BP25" s="33">
        <f t="shared" si="48"/>
        <v>-13200</v>
      </c>
      <c r="BQ25" s="33">
        <f t="shared" si="48"/>
        <v>42000</v>
      </c>
      <c r="BR25" s="33">
        <f t="shared" si="48"/>
        <v>0</v>
      </c>
      <c r="BS25" s="33">
        <f t="shared" si="48"/>
        <v>0</v>
      </c>
      <c r="BT25" s="33">
        <f t="shared" si="48"/>
        <v>0</v>
      </c>
      <c r="BU25" s="33" t="e">
        <f t="shared" si="48"/>
        <v>#N/A</v>
      </c>
      <c r="BW25" s="143">
        <f t="shared" si="53"/>
        <v>39971.428571428572</v>
      </c>
      <c r="BX25" s="33">
        <f t="shared" si="49"/>
        <v>0</v>
      </c>
      <c r="BY25" s="33"/>
      <c r="BZ25" s="33" t="e">
        <f t="shared" si="50"/>
        <v>#N/A</v>
      </c>
      <c r="CA25" s="33" t="e">
        <f t="shared" si="50"/>
        <v>#N/A</v>
      </c>
      <c r="CB25" s="33" t="e">
        <f t="shared" si="50"/>
        <v>#N/A</v>
      </c>
      <c r="CC25" s="33" t="e">
        <f t="shared" si="50"/>
        <v>#N/A</v>
      </c>
      <c r="CD25" s="33">
        <f t="shared" si="50"/>
        <v>0</v>
      </c>
      <c r="CE25" s="33">
        <f t="shared" si="50"/>
        <v>0</v>
      </c>
      <c r="CF25" s="33">
        <f t="shared" si="50"/>
        <v>0</v>
      </c>
      <c r="CG25" s="33">
        <f t="shared" si="50"/>
        <v>0</v>
      </c>
      <c r="CH25" s="33">
        <f t="shared" si="50"/>
        <v>0</v>
      </c>
      <c r="CI25" s="33">
        <f t="shared" si="50"/>
        <v>0</v>
      </c>
      <c r="CJ25" s="33">
        <f t="shared" si="50"/>
        <v>0</v>
      </c>
      <c r="CK25" s="33">
        <f t="shared" si="50"/>
        <v>0</v>
      </c>
      <c r="CL25" s="33" t="e">
        <f t="shared" si="51"/>
        <v>#N/A</v>
      </c>
      <c r="CM25" s="33" t="e">
        <f t="shared" si="51"/>
        <v>#N/A</v>
      </c>
      <c r="CN25" s="33">
        <f t="shared" si="51"/>
        <v>0</v>
      </c>
      <c r="CO25" s="33">
        <f t="shared" si="51"/>
        <v>0</v>
      </c>
      <c r="CP25" s="33">
        <f t="shared" si="51"/>
        <v>0</v>
      </c>
      <c r="CQ25" s="33">
        <f t="shared" si="51"/>
        <v>0</v>
      </c>
      <c r="CR25" s="33" t="e">
        <f t="shared" si="51"/>
        <v>#N/A</v>
      </c>
      <c r="CS25" s="33"/>
      <c r="CT25" s="33"/>
      <c r="CU25" s="33"/>
      <c r="CV25" s="33"/>
      <c r="CW25" s="33"/>
      <c r="CX25" s="33"/>
      <c r="CY25" s="33"/>
      <c r="CZ25" s="33"/>
      <c r="DA25" s="33"/>
      <c r="DD25" s="33"/>
      <c r="DE25" s="33"/>
      <c r="DF25" s="33"/>
      <c r="DG25" s="33"/>
      <c r="DH25" s="33"/>
      <c r="DI25" s="33"/>
      <c r="DJ25" s="33"/>
      <c r="DK25" s="33"/>
      <c r="DL25" s="33"/>
      <c r="DM25" s="33"/>
      <c r="DN25" s="33"/>
      <c r="DO25" s="33"/>
      <c r="DP25" s="33"/>
      <c r="DQ25" s="33"/>
      <c r="DR25" s="33"/>
      <c r="DS25" s="33"/>
      <c r="DT25" s="33"/>
      <c r="DU25" s="33"/>
      <c r="DV25" s="33"/>
    </row>
    <row r="26" spans="1:126">
      <c r="I26" s="34"/>
      <c r="J26" s="129"/>
      <c r="L26" s="34"/>
      <c r="M26" s="34"/>
      <c r="S26" s="68"/>
      <c r="T26" s="68"/>
      <c r="U26" s="68"/>
      <c r="V26" s="68"/>
      <c r="W26" s="68"/>
      <c r="X26" s="68"/>
      <c r="Y26" s="68"/>
      <c r="Z26" s="68"/>
      <c r="AA26" s="68"/>
      <c r="AB26" s="68"/>
      <c r="AC26" s="68"/>
      <c r="AD26" s="68"/>
      <c r="AE26" s="68"/>
      <c r="AF26" s="68"/>
      <c r="AG26" s="68"/>
      <c r="AI26" s="34" t="e">
        <f t="shared" si="10"/>
        <v>#VALUE!</v>
      </c>
      <c r="AJ26" t="e">
        <f t="shared" si="9"/>
        <v>#VALUE!</v>
      </c>
      <c r="AK26" s="151">
        <v>44616</v>
      </c>
      <c r="AL26" s="134">
        <f t="shared" si="11"/>
        <v>17400</v>
      </c>
      <c r="AM26" s="33">
        <v>33300</v>
      </c>
      <c r="AN26" s="132">
        <v>571</v>
      </c>
      <c r="AO26" s="33">
        <v>0.62</v>
      </c>
      <c r="AP26" s="134">
        <v>17400</v>
      </c>
      <c r="AQ26" s="33">
        <v>18.940000000000001</v>
      </c>
      <c r="AR26" t="s">
        <v>502</v>
      </c>
      <c r="AS26" s="133">
        <v>274.85000000000002</v>
      </c>
      <c r="AT26" s="33">
        <v>-0.38</v>
      </c>
      <c r="AU26" s="33">
        <v>169350</v>
      </c>
      <c r="AV26" s="33">
        <v>-5.7</v>
      </c>
      <c r="AW26" s="33">
        <v>20.48</v>
      </c>
      <c r="AX26" s="33">
        <v>3.6999999999999999E-4</v>
      </c>
      <c r="AZ26" s="143">
        <f t="shared" si="52"/>
        <v>17385.714285714286</v>
      </c>
      <c r="BA26" s="33">
        <f t="shared" si="46"/>
        <v>64314.285714285688</v>
      </c>
      <c r="BB26" s="33"/>
      <c r="BC26" s="33">
        <f t="shared" si="47"/>
        <v>0</v>
      </c>
      <c r="BD26" s="33">
        <f t="shared" si="47"/>
        <v>0</v>
      </c>
      <c r="BE26" s="33">
        <f t="shared" si="47"/>
        <v>0</v>
      </c>
      <c r="BF26" s="33">
        <f t="shared" si="47"/>
        <v>0</v>
      </c>
      <c r="BG26" s="33">
        <f t="shared" si="47"/>
        <v>18000</v>
      </c>
      <c r="BH26" s="33">
        <f t="shared" si="47"/>
        <v>25500</v>
      </c>
      <c r="BI26" s="33">
        <f t="shared" si="47"/>
        <v>-7985.7142857143117</v>
      </c>
      <c r="BJ26" s="33">
        <f t="shared" si="47"/>
        <v>0</v>
      </c>
      <c r="BK26" s="33">
        <f t="shared" si="47"/>
        <v>0</v>
      </c>
      <c r="BL26" s="33">
        <f t="shared" si="47"/>
        <v>0</v>
      </c>
      <c r="BM26" s="33">
        <f t="shared" si="47"/>
        <v>0</v>
      </c>
      <c r="BN26" s="33">
        <f t="shared" si="47"/>
        <v>0</v>
      </c>
      <c r="BO26" s="33">
        <f t="shared" si="48"/>
        <v>0</v>
      </c>
      <c r="BP26" s="33">
        <f t="shared" si="48"/>
        <v>-13200</v>
      </c>
      <c r="BQ26" s="33">
        <f t="shared" si="48"/>
        <v>42000</v>
      </c>
      <c r="BR26" s="33">
        <f t="shared" si="48"/>
        <v>0</v>
      </c>
      <c r="BS26" s="33">
        <f t="shared" si="48"/>
        <v>0</v>
      </c>
      <c r="BT26" s="33">
        <f t="shared" si="48"/>
        <v>0</v>
      </c>
      <c r="BU26" s="33" t="e">
        <f t="shared" si="48"/>
        <v>#N/A</v>
      </c>
      <c r="BW26" s="143">
        <f t="shared" si="53"/>
        <v>40021.428571428572</v>
      </c>
      <c r="BX26" s="33">
        <f t="shared" si="49"/>
        <v>0</v>
      </c>
      <c r="BY26" s="33"/>
      <c r="BZ26" s="33" t="e">
        <f t="shared" ref="BZ26:CK41" si="54">IF(ISBLANK(BZ$2),0,(MAX(BZ$2-$BW26,0)-IF(ISNUMBER(BZ$4),BZ$4,BZ$3))*BZ$5)</f>
        <v>#N/A</v>
      </c>
      <c r="CA26" s="33" t="e">
        <f t="shared" si="54"/>
        <v>#N/A</v>
      </c>
      <c r="CB26" s="33" t="e">
        <f t="shared" si="54"/>
        <v>#N/A</v>
      </c>
      <c r="CC26" s="33" t="e">
        <f t="shared" si="54"/>
        <v>#N/A</v>
      </c>
      <c r="CD26" s="33">
        <f t="shared" si="54"/>
        <v>0</v>
      </c>
      <c r="CE26" s="33">
        <f t="shared" si="54"/>
        <v>0</v>
      </c>
      <c r="CF26" s="33">
        <f t="shared" si="54"/>
        <v>0</v>
      </c>
      <c r="CG26" s="33">
        <f t="shared" si="54"/>
        <v>0</v>
      </c>
      <c r="CH26" s="33">
        <f t="shared" si="54"/>
        <v>0</v>
      </c>
      <c r="CI26" s="33">
        <f t="shared" si="54"/>
        <v>0</v>
      </c>
      <c r="CJ26" s="33">
        <f t="shared" si="54"/>
        <v>0</v>
      </c>
      <c r="CK26" s="33">
        <f t="shared" si="54"/>
        <v>0</v>
      </c>
      <c r="CL26" s="33" t="e">
        <f t="shared" ref="CL26:CR41" si="55">IF(ISBLANK(CL$2),0,(MAX($BW26-CL$2,0)-IF(ISNUMBER(CL$4),CL$4,CL$3))*CL$5)</f>
        <v>#N/A</v>
      </c>
      <c r="CM26" s="33" t="e">
        <f t="shared" si="55"/>
        <v>#N/A</v>
      </c>
      <c r="CN26" s="33">
        <f t="shared" si="55"/>
        <v>0</v>
      </c>
      <c r="CO26" s="33">
        <f t="shared" si="55"/>
        <v>0</v>
      </c>
      <c r="CP26" s="33">
        <f t="shared" si="55"/>
        <v>0</v>
      </c>
      <c r="CQ26" s="33">
        <f t="shared" si="55"/>
        <v>0</v>
      </c>
      <c r="CR26" s="33" t="e">
        <f t="shared" si="55"/>
        <v>#N/A</v>
      </c>
      <c r="CS26" s="33"/>
      <c r="CT26" s="33"/>
      <c r="CU26" s="33"/>
      <c r="CV26" s="33"/>
      <c r="CW26" s="33"/>
      <c r="CX26" s="33"/>
      <c r="CY26" s="33"/>
      <c r="CZ26" s="33"/>
      <c r="DA26" s="33"/>
      <c r="DD26" s="33"/>
      <c r="DE26" s="33"/>
      <c r="DF26" s="33"/>
      <c r="DG26" s="33"/>
      <c r="DH26" s="33"/>
      <c r="DI26" s="33"/>
      <c r="DJ26" s="33"/>
      <c r="DK26" s="33"/>
      <c r="DL26" s="33"/>
      <c r="DM26" s="33"/>
      <c r="DN26" s="33"/>
      <c r="DO26" s="33"/>
      <c r="DP26" s="33"/>
      <c r="DQ26" s="33"/>
      <c r="DR26" s="33"/>
      <c r="DS26" s="33"/>
      <c r="DT26" s="33"/>
      <c r="DU26" s="33"/>
      <c r="DV26" s="33"/>
    </row>
    <row r="27" spans="1:126">
      <c r="I27" s="34"/>
      <c r="J27" s="129"/>
      <c r="L27" s="34"/>
      <c r="M27" s="34"/>
      <c r="S27" s="68"/>
      <c r="T27" s="68"/>
      <c r="U27" s="68"/>
      <c r="V27" s="68"/>
      <c r="W27" s="68"/>
      <c r="X27" s="68"/>
      <c r="Y27" s="68"/>
      <c r="Z27" s="68"/>
      <c r="AA27" s="68"/>
      <c r="AB27" s="68"/>
      <c r="AC27" s="68"/>
      <c r="AD27" s="68"/>
      <c r="AE27" s="68"/>
      <c r="AF27" s="68"/>
      <c r="AG27" s="68"/>
      <c r="AI27" s="34" t="e">
        <f t="shared" si="10"/>
        <v>#VALUE!</v>
      </c>
      <c r="AJ27" t="e">
        <f t="shared" si="9"/>
        <v>#VALUE!</v>
      </c>
      <c r="AK27" s="151">
        <v>44616</v>
      </c>
      <c r="AL27" s="134">
        <f t="shared" si="11"/>
        <v>17450</v>
      </c>
      <c r="AM27" s="33">
        <v>2300</v>
      </c>
      <c r="AN27" s="132">
        <v>522.5</v>
      </c>
      <c r="AO27" s="33">
        <v>0.61</v>
      </c>
      <c r="AP27" s="134">
        <v>17450</v>
      </c>
      <c r="AQ27" s="33">
        <v>18.52</v>
      </c>
      <c r="AR27" t="s">
        <v>502</v>
      </c>
      <c r="AS27" s="133">
        <v>286.55</v>
      </c>
      <c r="AT27" s="33">
        <v>-0.39</v>
      </c>
      <c r="AU27" s="33">
        <v>5300</v>
      </c>
      <c r="AV27" s="33">
        <v>-5.65</v>
      </c>
      <c r="AW27" s="33">
        <v>20.76</v>
      </c>
      <c r="AX27" s="33">
        <v>3.8000000000000002E-4</v>
      </c>
      <c r="AZ27" s="143">
        <f t="shared" si="52"/>
        <v>17485.714285714286</v>
      </c>
      <c r="BA27" s="33">
        <f t="shared" si="46"/>
        <v>59314.285714285688</v>
      </c>
      <c r="BB27" s="33"/>
      <c r="BC27" s="33">
        <f t="shared" si="47"/>
        <v>0</v>
      </c>
      <c r="BD27" s="33">
        <f t="shared" si="47"/>
        <v>0</v>
      </c>
      <c r="BE27" s="33">
        <f t="shared" si="47"/>
        <v>0</v>
      </c>
      <c r="BF27" s="33">
        <f t="shared" si="47"/>
        <v>0</v>
      </c>
      <c r="BG27" s="33">
        <f t="shared" si="47"/>
        <v>18000</v>
      </c>
      <c r="BH27" s="33">
        <f t="shared" si="47"/>
        <v>25500</v>
      </c>
      <c r="BI27" s="33">
        <f t="shared" si="47"/>
        <v>-12985.714285714312</v>
      </c>
      <c r="BJ27" s="33">
        <f t="shared" si="47"/>
        <v>0</v>
      </c>
      <c r="BK27" s="33">
        <f t="shared" si="47"/>
        <v>0</v>
      </c>
      <c r="BL27" s="33">
        <f t="shared" si="47"/>
        <v>0</v>
      </c>
      <c r="BM27" s="33">
        <f t="shared" si="47"/>
        <v>0</v>
      </c>
      <c r="BN27" s="33">
        <f t="shared" si="47"/>
        <v>0</v>
      </c>
      <c r="BO27" s="33">
        <f t="shared" si="48"/>
        <v>0</v>
      </c>
      <c r="BP27" s="33">
        <f t="shared" si="48"/>
        <v>-13200</v>
      </c>
      <c r="BQ27" s="33">
        <f t="shared" si="48"/>
        <v>42000</v>
      </c>
      <c r="BR27" s="33">
        <f t="shared" si="48"/>
        <v>0</v>
      </c>
      <c r="BS27" s="33">
        <f t="shared" si="48"/>
        <v>0</v>
      </c>
      <c r="BT27" s="33">
        <f t="shared" si="48"/>
        <v>0</v>
      </c>
      <c r="BU27" s="33" t="e">
        <f t="shared" si="48"/>
        <v>#N/A</v>
      </c>
      <c r="BW27" s="143">
        <f t="shared" si="53"/>
        <v>40071.428571428572</v>
      </c>
      <c r="BX27" s="33">
        <f t="shared" si="49"/>
        <v>0</v>
      </c>
      <c r="BY27" s="33"/>
      <c r="BZ27" s="33" t="e">
        <f t="shared" si="54"/>
        <v>#N/A</v>
      </c>
      <c r="CA27" s="33" t="e">
        <f t="shared" si="54"/>
        <v>#N/A</v>
      </c>
      <c r="CB27" s="33" t="e">
        <f t="shared" si="54"/>
        <v>#N/A</v>
      </c>
      <c r="CC27" s="33" t="e">
        <f t="shared" si="54"/>
        <v>#N/A</v>
      </c>
      <c r="CD27" s="33">
        <f t="shared" si="54"/>
        <v>0</v>
      </c>
      <c r="CE27" s="33">
        <f t="shared" si="54"/>
        <v>0</v>
      </c>
      <c r="CF27" s="33">
        <f t="shared" si="54"/>
        <v>0</v>
      </c>
      <c r="CG27" s="33">
        <f t="shared" si="54"/>
        <v>0</v>
      </c>
      <c r="CH27" s="33">
        <f t="shared" si="54"/>
        <v>0</v>
      </c>
      <c r="CI27" s="33">
        <f t="shared" si="54"/>
        <v>0</v>
      </c>
      <c r="CJ27" s="33">
        <f t="shared" si="54"/>
        <v>0</v>
      </c>
      <c r="CK27" s="33">
        <f t="shared" si="54"/>
        <v>0</v>
      </c>
      <c r="CL27" s="33" t="e">
        <f t="shared" si="55"/>
        <v>#N/A</v>
      </c>
      <c r="CM27" s="33" t="e">
        <f t="shared" si="55"/>
        <v>#N/A</v>
      </c>
      <c r="CN27" s="33">
        <f t="shared" si="55"/>
        <v>0</v>
      </c>
      <c r="CO27" s="33">
        <f t="shared" si="55"/>
        <v>0</v>
      </c>
      <c r="CP27" s="33">
        <f t="shared" si="55"/>
        <v>0</v>
      </c>
      <c r="CQ27" s="33">
        <f t="shared" si="55"/>
        <v>0</v>
      </c>
      <c r="CR27" s="33" t="e">
        <f t="shared" si="55"/>
        <v>#N/A</v>
      </c>
      <c r="CS27" s="33"/>
      <c r="CT27" s="33"/>
      <c r="CU27" s="33"/>
      <c r="CV27" s="33"/>
      <c r="CW27" s="33"/>
      <c r="CX27" s="33"/>
      <c r="CY27" s="33"/>
      <c r="CZ27" s="33"/>
      <c r="DA27" s="33"/>
      <c r="DD27" s="33"/>
      <c r="DE27" s="33"/>
      <c r="DF27" s="33"/>
      <c r="DG27" s="33"/>
      <c r="DH27" s="33"/>
      <c r="DI27" s="33"/>
      <c r="DJ27" s="33"/>
      <c r="DK27" s="33"/>
      <c r="DL27" s="33"/>
      <c r="DM27" s="33"/>
      <c r="DN27" s="33"/>
      <c r="DO27" s="33"/>
      <c r="DP27" s="33"/>
      <c r="DQ27" s="33"/>
      <c r="DR27" s="33"/>
      <c r="DS27" s="33"/>
      <c r="DT27" s="33"/>
      <c r="DU27" s="33"/>
      <c r="DV27" s="33"/>
    </row>
    <row r="28" spans="1:126">
      <c r="I28" s="34"/>
      <c r="J28" s="129"/>
      <c r="L28" s="34"/>
      <c r="M28" s="34"/>
      <c r="S28" s="68"/>
      <c r="T28" s="68"/>
      <c r="U28" s="68"/>
      <c r="V28" s="68"/>
      <c r="W28" s="68"/>
      <c r="X28" s="68"/>
      <c r="Y28" s="68"/>
      <c r="Z28" s="68"/>
      <c r="AA28" s="68"/>
      <c r="AB28" s="68"/>
      <c r="AC28" s="68"/>
      <c r="AD28" s="68"/>
      <c r="AE28" s="68"/>
      <c r="AF28" s="68"/>
      <c r="AG28" s="68"/>
      <c r="AI28" s="34" t="e">
        <f t="shared" si="10"/>
        <v>#VALUE!</v>
      </c>
      <c r="AJ28" t="e">
        <f t="shared" si="9"/>
        <v>#VALUE!</v>
      </c>
      <c r="AK28" s="151">
        <v>44616</v>
      </c>
      <c r="AL28" s="134">
        <f t="shared" si="11"/>
        <v>17500</v>
      </c>
      <c r="AM28" s="33">
        <v>270900</v>
      </c>
      <c r="AN28" s="132">
        <v>503</v>
      </c>
      <c r="AO28" s="33">
        <v>0.59</v>
      </c>
      <c r="AP28" s="134">
        <v>17500</v>
      </c>
      <c r="AQ28" s="33">
        <v>18.73</v>
      </c>
      <c r="AR28" t="s">
        <v>502</v>
      </c>
      <c r="AS28" s="133">
        <v>312</v>
      </c>
      <c r="AT28" s="33">
        <v>-0.41</v>
      </c>
      <c r="AU28" s="33">
        <v>1548000</v>
      </c>
      <c r="AV28" s="33">
        <v>-5.79</v>
      </c>
      <c r="AW28" s="33">
        <v>21.03</v>
      </c>
      <c r="AX28" s="33">
        <v>3.8999999999999999E-4</v>
      </c>
      <c r="AZ28" s="143">
        <f t="shared" si="52"/>
        <v>17585.714285714286</v>
      </c>
      <c r="BA28" s="33">
        <f t="shared" si="46"/>
        <v>58600</v>
      </c>
      <c r="BB28" s="33"/>
      <c r="BC28" s="33">
        <f t="shared" si="47"/>
        <v>0</v>
      </c>
      <c r="BD28" s="33">
        <f t="shared" si="47"/>
        <v>0</v>
      </c>
      <c r="BE28" s="33">
        <f t="shared" si="47"/>
        <v>0</v>
      </c>
      <c r="BF28" s="33">
        <f t="shared" si="47"/>
        <v>0</v>
      </c>
      <c r="BG28" s="33">
        <f t="shared" si="47"/>
        <v>18000</v>
      </c>
      <c r="BH28" s="33">
        <f t="shared" si="47"/>
        <v>25500</v>
      </c>
      <c r="BI28" s="33">
        <f t="shared" si="47"/>
        <v>-13700</v>
      </c>
      <c r="BJ28" s="33">
        <f t="shared" si="47"/>
        <v>0</v>
      </c>
      <c r="BK28" s="33">
        <f t="shared" si="47"/>
        <v>0</v>
      </c>
      <c r="BL28" s="33">
        <f t="shared" si="47"/>
        <v>0</v>
      </c>
      <c r="BM28" s="33">
        <f t="shared" si="47"/>
        <v>0</v>
      </c>
      <c r="BN28" s="33">
        <f t="shared" si="47"/>
        <v>0</v>
      </c>
      <c r="BO28" s="33">
        <f t="shared" si="48"/>
        <v>0</v>
      </c>
      <c r="BP28" s="33">
        <f t="shared" si="48"/>
        <v>-13200</v>
      </c>
      <c r="BQ28" s="33">
        <f t="shared" si="48"/>
        <v>42000</v>
      </c>
      <c r="BR28" s="33">
        <f t="shared" si="48"/>
        <v>0</v>
      </c>
      <c r="BS28" s="33">
        <f t="shared" si="48"/>
        <v>0</v>
      </c>
      <c r="BT28" s="33">
        <f t="shared" si="48"/>
        <v>0</v>
      </c>
      <c r="BU28" s="33" t="e">
        <f t="shared" si="48"/>
        <v>#N/A</v>
      </c>
      <c r="BW28" s="143">
        <f t="shared" si="53"/>
        <v>40121.428571428572</v>
      </c>
      <c r="BX28" s="33">
        <f t="shared" si="49"/>
        <v>0</v>
      </c>
      <c r="BY28" s="33"/>
      <c r="BZ28" s="33" t="e">
        <f t="shared" si="54"/>
        <v>#N/A</v>
      </c>
      <c r="CA28" s="33" t="e">
        <f t="shared" si="54"/>
        <v>#N/A</v>
      </c>
      <c r="CB28" s="33" t="e">
        <f t="shared" si="54"/>
        <v>#N/A</v>
      </c>
      <c r="CC28" s="33" t="e">
        <f t="shared" si="54"/>
        <v>#N/A</v>
      </c>
      <c r="CD28" s="33">
        <f t="shared" si="54"/>
        <v>0</v>
      </c>
      <c r="CE28" s="33">
        <f t="shared" si="54"/>
        <v>0</v>
      </c>
      <c r="CF28" s="33">
        <f t="shared" si="54"/>
        <v>0</v>
      </c>
      <c r="CG28" s="33">
        <f t="shared" si="54"/>
        <v>0</v>
      </c>
      <c r="CH28" s="33">
        <f t="shared" si="54"/>
        <v>0</v>
      </c>
      <c r="CI28" s="33">
        <f t="shared" si="54"/>
        <v>0</v>
      </c>
      <c r="CJ28" s="33">
        <f t="shared" si="54"/>
        <v>0</v>
      </c>
      <c r="CK28" s="33">
        <f t="shared" si="54"/>
        <v>0</v>
      </c>
      <c r="CL28" s="33" t="e">
        <f t="shared" si="55"/>
        <v>#N/A</v>
      </c>
      <c r="CM28" s="33" t="e">
        <f t="shared" si="55"/>
        <v>#N/A</v>
      </c>
      <c r="CN28" s="33">
        <f t="shared" si="55"/>
        <v>0</v>
      </c>
      <c r="CO28" s="33">
        <f t="shared" si="55"/>
        <v>0</v>
      </c>
      <c r="CP28" s="33">
        <f t="shared" si="55"/>
        <v>0</v>
      </c>
      <c r="CQ28" s="33">
        <f t="shared" si="55"/>
        <v>0</v>
      </c>
      <c r="CR28" s="33" t="e">
        <f t="shared" si="55"/>
        <v>#N/A</v>
      </c>
      <c r="CS28" s="33"/>
      <c r="CT28" s="33"/>
      <c r="CU28" s="33"/>
      <c r="CV28" s="33"/>
      <c r="CW28" s="33"/>
      <c r="CX28" s="33"/>
      <c r="CY28" s="33"/>
      <c r="CZ28" s="33">
        <v>72.55</v>
      </c>
      <c r="DA28" s="33">
        <f>CZ28*20%</f>
        <v>14.51</v>
      </c>
      <c r="DB28" s="33">
        <f>DA28*-50</f>
        <v>-725.5</v>
      </c>
      <c r="DD28" s="33"/>
      <c r="DE28" s="33"/>
      <c r="DF28" s="33"/>
      <c r="DG28" s="33"/>
      <c r="DH28" s="33"/>
      <c r="DI28" s="33"/>
      <c r="DJ28" s="33"/>
      <c r="DK28" s="33"/>
      <c r="DL28" s="33"/>
      <c r="DM28" s="33"/>
      <c r="DN28" s="33"/>
      <c r="DO28" s="33"/>
      <c r="DP28" s="33"/>
      <c r="DQ28" s="33"/>
      <c r="DR28" s="33"/>
      <c r="DS28" s="33"/>
      <c r="DT28" s="33"/>
      <c r="DU28" s="33"/>
      <c r="DV28" s="33"/>
    </row>
    <row r="29" spans="1:126">
      <c r="I29" s="34"/>
      <c r="J29" s="129"/>
      <c r="L29" s="34"/>
      <c r="M29" s="34"/>
      <c r="S29" s="68"/>
      <c r="T29" s="68"/>
      <c r="U29" s="68"/>
      <c r="V29" s="68"/>
      <c r="W29" s="68"/>
      <c r="X29" s="68"/>
      <c r="Y29" s="68"/>
      <c r="Z29" s="68"/>
      <c r="AA29" s="68"/>
      <c r="AB29" s="68"/>
      <c r="AC29" s="68"/>
      <c r="AD29" s="68"/>
      <c r="AE29" s="68"/>
      <c r="AF29" s="68"/>
      <c r="AG29" s="68"/>
      <c r="AI29" s="34" t="e">
        <f t="shared" si="10"/>
        <v>#VALUE!</v>
      </c>
      <c r="AJ29" t="e">
        <f t="shared" si="9"/>
        <v>#VALUE!</v>
      </c>
      <c r="AK29" s="151">
        <v>44616</v>
      </c>
      <c r="AL29" s="134">
        <f t="shared" si="11"/>
        <v>17550</v>
      </c>
      <c r="AM29" s="33">
        <v>7650</v>
      </c>
      <c r="AN29" s="132">
        <v>489.75</v>
      </c>
      <c r="AO29" s="33">
        <v>0.56999999999999995</v>
      </c>
      <c r="AP29" s="134">
        <v>17550</v>
      </c>
      <c r="AQ29" s="33">
        <v>18.71</v>
      </c>
      <c r="AR29" t="s">
        <v>502</v>
      </c>
      <c r="AS29" s="133">
        <v>333.85</v>
      </c>
      <c r="AT29" s="33">
        <v>-0.43</v>
      </c>
      <c r="AU29" s="33">
        <v>20900</v>
      </c>
      <c r="AV29" s="33">
        <v>-5.84</v>
      </c>
      <c r="AW29" s="33">
        <v>21.23</v>
      </c>
      <c r="AX29" s="33">
        <v>3.8999999999999999E-4</v>
      </c>
      <c r="AZ29" s="143">
        <f t="shared" si="52"/>
        <v>17685.714285714286</v>
      </c>
      <c r="BA29" s="33">
        <f t="shared" si="46"/>
        <v>58600</v>
      </c>
      <c r="BB29" s="33"/>
      <c r="BC29" s="33">
        <f t="shared" si="47"/>
        <v>0</v>
      </c>
      <c r="BD29" s="33">
        <f t="shared" si="47"/>
        <v>0</v>
      </c>
      <c r="BE29" s="33">
        <f t="shared" si="47"/>
        <v>0</v>
      </c>
      <c r="BF29" s="33">
        <f t="shared" si="47"/>
        <v>0</v>
      </c>
      <c r="BG29" s="33">
        <f t="shared" si="47"/>
        <v>18000</v>
      </c>
      <c r="BH29" s="33">
        <f t="shared" si="47"/>
        <v>25500</v>
      </c>
      <c r="BI29" s="33">
        <f t="shared" si="47"/>
        <v>-13700</v>
      </c>
      <c r="BJ29" s="33">
        <f t="shared" si="47"/>
        <v>0</v>
      </c>
      <c r="BK29" s="33">
        <f t="shared" si="47"/>
        <v>0</v>
      </c>
      <c r="BL29" s="33">
        <f t="shared" si="47"/>
        <v>0</v>
      </c>
      <c r="BM29" s="33">
        <f t="shared" si="47"/>
        <v>0</v>
      </c>
      <c r="BN29" s="33">
        <f t="shared" si="47"/>
        <v>0</v>
      </c>
      <c r="BO29" s="33">
        <f t="shared" si="48"/>
        <v>0</v>
      </c>
      <c r="BP29" s="33">
        <f t="shared" si="48"/>
        <v>-13200</v>
      </c>
      <c r="BQ29" s="33">
        <f t="shared" si="48"/>
        <v>42000</v>
      </c>
      <c r="BR29" s="33">
        <f t="shared" si="48"/>
        <v>0</v>
      </c>
      <c r="BS29" s="33">
        <f t="shared" si="48"/>
        <v>0</v>
      </c>
      <c r="BT29" s="33">
        <f t="shared" si="48"/>
        <v>0</v>
      </c>
      <c r="BU29" s="33" t="e">
        <f t="shared" si="48"/>
        <v>#N/A</v>
      </c>
      <c r="BW29" s="143">
        <f t="shared" si="53"/>
        <v>40171.428571428572</v>
      </c>
      <c r="BX29" s="33">
        <f t="shared" si="49"/>
        <v>0</v>
      </c>
      <c r="BY29" s="33"/>
      <c r="BZ29" s="33" t="e">
        <f t="shared" si="54"/>
        <v>#N/A</v>
      </c>
      <c r="CA29" s="33" t="e">
        <f t="shared" si="54"/>
        <v>#N/A</v>
      </c>
      <c r="CB29" s="33" t="e">
        <f t="shared" si="54"/>
        <v>#N/A</v>
      </c>
      <c r="CC29" s="33" t="e">
        <f t="shared" si="54"/>
        <v>#N/A</v>
      </c>
      <c r="CD29" s="33">
        <f t="shared" si="54"/>
        <v>0</v>
      </c>
      <c r="CE29" s="33">
        <f t="shared" si="54"/>
        <v>0</v>
      </c>
      <c r="CF29" s="33">
        <f t="shared" si="54"/>
        <v>0</v>
      </c>
      <c r="CG29" s="33">
        <f t="shared" si="54"/>
        <v>0</v>
      </c>
      <c r="CH29" s="33">
        <f t="shared" si="54"/>
        <v>0</v>
      </c>
      <c r="CI29" s="33">
        <f t="shared" si="54"/>
        <v>0</v>
      </c>
      <c r="CJ29" s="33">
        <f t="shared" si="54"/>
        <v>0</v>
      </c>
      <c r="CK29" s="33">
        <f t="shared" si="54"/>
        <v>0</v>
      </c>
      <c r="CL29" s="33" t="e">
        <f t="shared" si="55"/>
        <v>#N/A</v>
      </c>
      <c r="CM29" s="33" t="e">
        <f t="shared" si="55"/>
        <v>#N/A</v>
      </c>
      <c r="CN29" s="33">
        <f t="shared" si="55"/>
        <v>0</v>
      </c>
      <c r="CO29" s="33">
        <f t="shared" si="55"/>
        <v>0</v>
      </c>
      <c r="CP29" s="33">
        <f t="shared" si="55"/>
        <v>0</v>
      </c>
      <c r="CQ29" s="33">
        <f t="shared" si="55"/>
        <v>0</v>
      </c>
      <c r="CR29" s="33" t="e">
        <f t="shared" si="55"/>
        <v>#N/A</v>
      </c>
      <c r="CS29" s="33"/>
      <c r="CT29" s="33"/>
      <c r="CU29" s="33"/>
      <c r="CV29" s="33"/>
      <c r="CW29" s="33"/>
      <c r="CX29" s="33"/>
      <c r="CY29" s="33"/>
      <c r="CZ29" s="33">
        <v>79.5</v>
      </c>
      <c r="DA29" s="33">
        <f>CZ29*20%</f>
        <v>15.9</v>
      </c>
      <c r="DB29" s="33">
        <f t="shared" ref="DB29" si="56">DA29*-50</f>
        <v>-795</v>
      </c>
      <c r="DD29" s="33"/>
      <c r="DE29" s="33"/>
      <c r="DF29" s="33"/>
      <c r="DG29" s="33"/>
      <c r="DH29" s="33"/>
      <c r="DI29" s="33"/>
      <c r="DJ29" s="33"/>
      <c r="DK29" s="33"/>
      <c r="DL29" s="33"/>
      <c r="DM29" s="33"/>
      <c r="DN29" s="33"/>
      <c r="DO29" s="33"/>
      <c r="DP29" s="33"/>
      <c r="DQ29" s="33"/>
      <c r="DR29" s="33"/>
      <c r="DS29" s="33"/>
      <c r="DT29" s="33"/>
      <c r="DU29" s="33"/>
      <c r="DV29" s="33"/>
    </row>
    <row r="30" spans="1:126">
      <c r="I30" s="34"/>
      <c r="J30" s="129"/>
      <c r="L30" s="34"/>
      <c r="M30" s="34"/>
      <c r="S30" s="68"/>
      <c r="T30" s="68"/>
      <c r="U30" s="68"/>
      <c r="V30" s="68"/>
      <c r="W30" s="68"/>
      <c r="X30" s="68"/>
      <c r="Y30" s="68"/>
      <c r="Z30" s="68"/>
      <c r="AA30" s="68"/>
      <c r="AB30" s="68"/>
      <c r="AC30" s="68"/>
      <c r="AD30" s="68"/>
      <c r="AE30" s="68"/>
      <c r="AF30" s="68"/>
      <c r="AG30" s="68"/>
      <c r="AI30" s="34" t="e">
        <f t="shared" si="10"/>
        <v>#VALUE!</v>
      </c>
      <c r="AJ30" t="e">
        <f t="shared" si="9"/>
        <v>#VALUE!</v>
      </c>
      <c r="AK30" s="151">
        <v>44616</v>
      </c>
      <c r="AL30" s="134">
        <f t="shared" si="11"/>
        <v>17600</v>
      </c>
      <c r="AM30" s="33">
        <v>169250</v>
      </c>
      <c r="AN30" s="132">
        <v>452</v>
      </c>
      <c r="AO30" s="33">
        <v>0.55000000000000004</v>
      </c>
      <c r="AP30" s="134">
        <v>17600</v>
      </c>
      <c r="AQ30" s="33">
        <v>18.52</v>
      </c>
      <c r="AR30" t="s">
        <v>502</v>
      </c>
      <c r="AS30" s="133">
        <v>353.2</v>
      </c>
      <c r="AT30" s="33">
        <v>-0.45</v>
      </c>
      <c r="AU30" s="33">
        <v>305250</v>
      </c>
      <c r="AV30" s="33">
        <v>-5.83</v>
      </c>
      <c r="AW30" s="33">
        <v>21.38</v>
      </c>
      <c r="AX30" s="33">
        <v>4.0000000000000002E-4</v>
      </c>
      <c r="AZ30" s="143">
        <f t="shared" si="52"/>
        <v>17785.714285714286</v>
      </c>
      <c r="BA30" s="33">
        <f t="shared" si="46"/>
        <v>58600</v>
      </c>
      <c r="BB30" s="33"/>
      <c r="BC30" s="33">
        <f t="shared" si="47"/>
        <v>0</v>
      </c>
      <c r="BD30" s="33">
        <f t="shared" si="47"/>
        <v>0</v>
      </c>
      <c r="BE30" s="33">
        <f t="shared" si="47"/>
        <v>0</v>
      </c>
      <c r="BF30" s="33">
        <f t="shared" si="47"/>
        <v>0</v>
      </c>
      <c r="BG30" s="33">
        <f t="shared" si="47"/>
        <v>18000</v>
      </c>
      <c r="BH30" s="33">
        <f t="shared" si="47"/>
        <v>25500</v>
      </c>
      <c r="BI30" s="33">
        <f t="shared" si="47"/>
        <v>-13700</v>
      </c>
      <c r="BJ30" s="33">
        <f t="shared" si="47"/>
        <v>0</v>
      </c>
      <c r="BK30" s="33">
        <f t="shared" si="47"/>
        <v>0</v>
      </c>
      <c r="BL30" s="33">
        <f t="shared" si="47"/>
        <v>0</v>
      </c>
      <c r="BM30" s="33">
        <f t="shared" si="47"/>
        <v>0</v>
      </c>
      <c r="BN30" s="33">
        <f t="shared" si="47"/>
        <v>0</v>
      </c>
      <c r="BO30" s="33">
        <f t="shared" si="48"/>
        <v>0</v>
      </c>
      <c r="BP30" s="33">
        <f t="shared" si="48"/>
        <v>-13200</v>
      </c>
      <c r="BQ30" s="33">
        <f t="shared" si="48"/>
        <v>42000</v>
      </c>
      <c r="BR30" s="33">
        <f t="shared" si="48"/>
        <v>0</v>
      </c>
      <c r="BS30" s="33">
        <f t="shared" si="48"/>
        <v>0</v>
      </c>
      <c r="BT30" s="33">
        <f t="shared" si="48"/>
        <v>0</v>
      </c>
      <c r="BU30" s="33" t="e">
        <f t="shared" si="48"/>
        <v>#N/A</v>
      </c>
      <c r="BW30" s="143">
        <f t="shared" si="53"/>
        <v>40221.428571428572</v>
      </c>
      <c r="BX30" s="33">
        <f t="shared" si="49"/>
        <v>0</v>
      </c>
      <c r="BY30" s="33"/>
      <c r="BZ30" s="33" t="e">
        <f t="shared" si="54"/>
        <v>#N/A</v>
      </c>
      <c r="CA30" s="33" t="e">
        <f t="shared" si="54"/>
        <v>#N/A</v>
      </c>
      <c r="CB30" s="33" t="e">
        <f t="shared" si="54"/>
        <v>#N/A</v>
      </c>
      <c r="CC30" s="33" t="e">
        <f t="shared" si="54"/>
        <v>#N/A</v>
      </c>
      <c r="CD30" s="33">
        <f t="shared" si="54"/>
        <v>0</v>
      </c>
      <c r="CE30" s="33">
        <f t="shared" si="54"/>
        <v>0</v>
      </c>
      <c r="CF30" s="33">
        <f t="shared" si="54"/>
        <v>0</v>
      </c>
      <c r="CG30" s="33">
        <f t="shared" si="54"/>
        <v>0</v>
      </c>
      <c r="CH30" s="33">
        <f t="shared" si="54"/>
        <v>0</v>
      </c>
      <c r="CI30" s="33">
        <f t="shared" si="54"/>
        <v>0</v>
      </c>
      <c r="CJ30" s="33">
        <f t="shared" si="54"/>
        <v>0</v>
      </c>
      <c r="CK30" s="33">
        <f t="shared" si="54"/>
        <v>0</v>
      </c>
      <c r="CL30" s="33" t="e">
        <f t="shared" si="55"/>
        <v>#N/A</v>
      </c>
      <c r="CM30" s="33" t="e">
        <f t="shared" si="55"/>
        <v>#N/A</v>
      </c>
      <c r="CN30" s="33">
        <f t="shared" si="55"/>
        <v>0</v>
      </c>
      <c r="CO30" s="33">
        <f t="shared" si="55"/>
        <v>0</v>
      </c>
      <c r="CP30" s="33">
        <f t="shared" si="55"/>
        <v>0</v>
      </c>
      <c r="CQ30" s="33">
        <f t="shared" si="55"/>
        <v>0</v>
      </c>
      <c r="CR30" s="33" t="e">
        <f t="shared" si="55"/>
        <v>#N/A</v>
      </c>
      <c r="CS30" s="33"/>
      <c r="CT30" s="33"/>
      <c r="CU30" s="33"/>
      <c r="CV30" s="33"/>
      <c r="CW30" s="33"/>
      <c r="CX30" s="33"/>
      <c r="CY30" s="33"/>
      <c r="CZ30" s="33"/>
      <c r="DA30" s="33"/>
      <c r="DD30" s="33"/>
      <c r="DE30" s="33"/>
      <c r="DF30" s="33"/>
      <c r="DG30" s="33"/>
      <c r="DH30" s="33"/>
      <c r="DI30" s="33"/>
      <c r="DJ30" s="33"/>
      <c r="DK30" s="33"/>
      <c r="DL30" s="33"/>
      <c r="DM30" s="33"/>
      <c r="DN30" s="33"/>
      <c r="DO30" s="33"/>
      <c r="DP30" s="33"/>
      <c r="DQ30" s="33"/>
      <c r="DR30" s="33"/>
      <c r="DS30" s="33"/>
      <c r="DT30" s="33"/>
      <c r="DU30" s="33"/>
      <c r="DV30" s="33"/>
    </row>
    <row r="31" spans="1:126">
      <c r="I31" s="34"/>
      <c r="J31" s="129"/>
      <c r="L31" s="34"/>
      <c r="M31" s="34"/>
      <c r="S31" s="68"/>
      <c r="T31" s="68"/>
      <c r="U31" s="68"/>
      <c r="V31" s="68"/>
      <c r="W31" s="68"/>
      <c r="X31" s="68"/>
      <c r="Y31" s="68"/>
      <c r="Z31" s="68"/>
      <c r="AA31" s="68"/>
      <c r="AB31" s="68"/>
      <c r="AC31" s="68"/>
      <c r="AD31" s="68"/>
      <c r="AE31" s="68"/>
      <c r="AF31" s="68"/>
      <c r="AG31" s="68"/>
      <c r="AI31" s="34" t="e">
        <f t="shared" si="10"/>
        <v>#VALUE!</v>
      </c>
      <c r="AJ31" t="e">
        <f t="shared" si="9"/>
        <v>#VALUE!</v>
      </c>
      <c r="AK31" s="151">
        <v>44616</v>
      </c>
      <c r="AL31" s="134">
        <f t="shared" si="11"/>
        <v>17650</v>
      </c>
      <c r="AM31" s="33">
        <v>9500</v>
      </c>
      <c r="AN31" s="132">
        <v>421</v>
      </c>
      <c r="AO31" s="33">
        <v>0.53</v>
      </c>
      <c r="AP31" s="134">
        <v>17650</v>
      </c>
      <c r="AQ31" s="33">
        <v>18.34</v>
      </c>
      <c r="AR31" t="s">
        <v>502</v>
      </c>
      <c r="AS31" s="133">
        <v>373.5</v>
      </c>
      <c r="AT31" s="33">
        <v>-0.47</v>
      </c>
      <c r="AU31" s="33">
        <v>11150</v>
      </c>
      <c r="AV31" s="33">
        <v>-5.8</v>
      </c>
      <c r="AW31" s="33">
        <v>21.49</v>
      </c>
      <c r="AX31" s="33">
        <v>4.0000000000000002E-4</v>
      </c>
      <c r="AZ31" s="143">
        <f t="shared" si="52"/>
        <v>17885.714285714286</v>
      </c>
      <c r="BA31" s="33">
        <f t="shared" si="46"/>
        <v>58600</v>
      </c>
      <c r="BB31" s="33"/>
      <c r="BC31" s="33">
        <f t="shared" si="47"/>
        <v>0</v>
      </c>
      <c r="BD31" s="33">
        <f t="shared" si="47"/>
        <v>0</v>
      </c>
      <c r="BE31" s="33">
        <f t="shared" si="47"/>
        <v>0</v>
      </c>
      <c r="BF31" s="33">
        <f t="shared" si="47"/>
        <v>0</v>
      </c>
      <c r="BG31" s="33">
        <f t="shared" si="47"/>
        <v>18000</v>
      </c>
      <c r="BH31" s="33">
        <f t="shared" si="47"/>
        <v>25500</v>
      </c>
      <c r="BI31" s="33">
        <f t="shared" si="47"/>
        <v>-13700</v>
      </c>
      <c r="BJ31" s="33">
        <f t="shared" ref="BJ31:BN54" si="57">IF(ISBLANK(BJ$2),0,(MAX(BJ$2-$AZ31,0)-IF(ISNUMBER(BJ$4),BJ$4,BJ$3))*BJ$5)</f>
        <v>0</v>
      </c>
      <c r="BK31" s="33">
        <f t="shared" si="57"/>
        <v>0</v>
      </c>
      <c r="BL31" s="33">
        <f t="shared" si="57"/>
        <v>0</v>
      </c>
      <c r="BM31" s="33">
        <f t="shared" si="57"/>
        <v>0</v>
      </c>
      <c r="BN31" s="33">
        <f t="shared" si="57"/>
        <v>0</v>
      </c>
      <c r="BO31" s="33">
        <f t="shared" si="48"/>
        <v>0</v>
      </c>
      <c r="BP31" s="33">
        <f t="shared" si="48"/>
        <v>-13200</v>
      </c>
      <c r="BQ31" s="33">
        <f t="shared" si="48"/>
        <v>42000</v>
      </c>
      <c r="BR31" s="33">
        <f t="shared" si="48"/>
        <v>0</v>
      </c>
      <c r="BS31" s="33">
        <f t="shared" si="48"/>
        <v>0</v>
      </c>
      <c r="BT31" s="33">
        <f t="shared" si="48"/>
        <v>0</v>
      </c>
      <c r="BU31" s="33" t="e">
        <f t="shared" si="48"/>
        <v>#N/A</v>
      </c>
      <c r="BW31" s="143">
        <f t="shared" si="53"/>
        <v>40271.428571428572</v>
      </c>
      <c r="BX31" s="33">
        <f t="shared" si="49"/>
        <v>0</v>
      </c>
      <c r="BY31" s="33"/>
      <c r="BZ31" s="33" t="e">
        <f t="shared" si="54"/>
        <v>#N/A</v>
      </c>
      <c r="CA31" s="33" t="e">
        <f t="shared" si="54"/>
        <v>#N/A</v>
      </c>
      <c r="CB31" s="33" t="e">
        <f t="shared" si="54"/>
        <v>#N/A</v>
      </c>
      <c r="CC31" s="33" t="e">
        <f t="shared" si="54"/>
        <v>#N/A</v>
      </c>
      <c r="CD31" s="33">
        <f t="shared" si="54"/>
        <v>0</v>
      </c>
      <c r="CE31" s="33">
        <f t="shared" si="54"/>
        <v>0</v>
      </c>
      <c r="CF31" s="33">
        <f t="shared" si="54"/>
        <v>0</v>
      </c>
      <c r="CG31" s="33">
        <f t="shared" si="54"/>
        <v>0</v>
      </c>
      <c r="CH31" s="33">
        <f t="shared" si="54"/>
        <v>0</v>
      </c>
      <c r="CI31" s="33">
        <f t="shared" si="54"/>
        <v>0</v>
      </c>
      <c r="CJ31" s="33">
        <f t="shared" si="54"/>
        <v>0</v>
      </c>
      <c r="CK31" s="33">
        <f t="shared" si="54"/>
        <v>0</v>
      </c>
      <c r="CL31" s="33" t="e">
        <f t="shared" si="55"/>
        <v>#N/A</v>
      </c>
      <c r="CM31" s="33" t="e">
        <f t="shared" si="55"/>
        <v>#N/A</v>
      </c>
      <c r="CN31" s="33">
        <f t="shared" si="55"/>
        <v>0</v>
      </c>
      <c r="CO31" s="33">
        <f t="shared" si="55"/>
        <v>0</v>
      </c>
      <c r="CP31" s="33">
        <f t="shared" si="55"/>
        <v>0</v>
      </c>
      <c r="CQ31" s="33">
        <f t="shared" si="55"/>
        <v>0</v>
      </c>
      <c r="CR31" s="33" t="e">
        <f t="shared" si="55"/>
        <v>#N/A</v>
      </c>
      <c r="CS31" s="33"/>
      <c r="CT31" s="33"/>
      <c r="CU31" s="33"/>
      <c r="CV31" s="33"/>
      <c r="CW31" s="33"/>
      <c r="CX31" s="33"/>
      <c r="CY31" s="33"/>
      <c r="CZ31" s="33"/>
      <c r="DA31" s="33"/>
      <c r="DD31" s="33"/>
      <c r="DE31" s="33"/>
      <c r="DF31" s="33"/>
      <c r="DG31" s="33"/>
      <c r="DH31" s="33"/>
      <c r="DI31" s="33"/>
      <c r="DJ31" s="33"/>
      <c r="DK31" s="33"/>
      <c r="DL31" s="33"/>
      <c r="DM31" s="33"/>
      <c r="DN31" s="33"/>
      <c r="DO31" s="33"/>
      <c r="DP31" s="33"/>
      <c r="DQ31" s="33"/>
      <c r="DR31" s="33"/>
      <c r="DS31" s="33"/>
      <c r="DT31" s="33"/>
      <c r="DU31" s="33"/>
      <c r="DV31" s="33"/>
    </row>
    <row r="32" spans="1:126">
      <c r="I32" s="34"/>
      <c r="J32" s="129"/>
      <c r="L32" s="34"/>
      <c r="M32" s="34"/>
      <c r="S32" s="68"/>
      <c r="T32" s="68"/>
      <c r="U32" s="68"/>
      <c r="V32" s="68"/>
      <c r="W32" s="68"/>
      <c r="X32" s="68"/>
      <c r="Y32" s="68"/>
      <c r="Z32" s="68"/>
      <c r="AA32" s="68"/>
      <c r="AB32" s="68"/>
      <c r="AC32" s="68"/>
      <c r="AD32" s="68"/>
      <c r="AE32" s="68"/>
      <c r="AF32" s="68"/>
      <c r="AG32" s="68"/>
      <c r="AI32" s="34" t="e">
        <f t="shared" si="10"/>
        <v>#VALUE!</v>
      </c>
      <c r="AJ32" t="e">
        <f t="shared" si="9"/>
        <v>#VALUE!</v>
      </c>
      <c r="AK32" s="151">
        <v>44616</v>
      </c>
      <c r="AL32" s="134">
        <f t="shared" si="11"/>
        <v>17700</v>
      </c>
      <c r="AM32" s="33">
        <v>209950</v>
      </c>
      <c r="AN32" s="132">
        <v>399</v>
      </c>
      <c r="AO32" s="33">
        <v>0.51</v>
      </c>
      <c r="AP32" s="134">
        <v>17700</v>
      </c>
      <c r="AQ32" s="33">
        <v>18.68</v>
      </c>
      <c r="AR32" t="s">
        <v>502</v>
      </c>
      <c r="AS32" s="133">
        <v>399</v>
      </c>
      <c r="AT32" s="33">
        <v>-0.49</v>
      </c>
      <c r="AU32" s="33">
        <v>242700</v>
      </c>
      <c r="AV32" s="33">
        <v>-5.92</v>
      </c>
      <c r="AW32" s="33">
        <v>21.54</v>
      </c>
      <c r="AX32" s="33">
        <v>4.0000000000000002E-4</v>
      </c>
      <c r="AZ32" s="143">
        <f t="shared" si="52"/>
        <v>17985.714285714286</v>
      </c>
      <c r="BA32" s="33">
        <f t="shared" si="46"/>
        <v>58600</v>
      </c>
      <c r="BB32" s="33"/>
      <c r="BC32" s="33">
        <f t="shared" si="47"/>
        <v>0</v>
      </c>
      <c r="BD32" s="33">
        <f t="shared" si="47"/>
        <v>0</v>
      </c>
      <c r="BE32" s="33">
        <f t="shared" si="47"/>
        <v>0</v>
      </c>
      <c r="BF32" s="33">
        <f t="shared" si="47"/>
        <v>0</v>
      </c>
      <c r="BG32" s="33">
        <f t="shared" si="47"/>
        <v>18000</v>
      </c>
      <c r="BH32" s="33">
        <f t="shared" si="47"/>
        <v>25500</v>
      </c>
      <c r="BI32" s="33">
        <f t="shared" si="47"/>
        <v>-13700</v>
      </c>
      <c r="BJ32" s="33">
        <f t="shared" si="57"/>
        <v>0</v>
      </c>
      <c r="BK32" s="33">
        <f t="shared" si="57"/>
        <v>0</v>
      </c>
      <c r="BL32" s="33">
        <f t="shared" si="57"/>
        <v>0</v>
      </c>
      <c r="BM32" s="33">
        <f t="shared" si="57"/>
        <v>0</v>
      </c>
      <c r="BN32" s="33">
        <f t="shared" si="57"/>
        <v>0</v>
      </c>
      <c r="BO32" s="33">
        <f t="shared" si="48"/>
        <v>0</v>
      </c>
      <c r="BP32" s="33">
        <f t="shared" si="48"/>
        <v>-13200</v>
      </c>
      <c r="BQ32" s="33">
        <f t="shared" si="48"/>
        <v>42000</v>
      </c>
      <c r="BR32" s="33">
        <f t="shared" si="48"/>
        <v>0</v>
      </c>
      <c r="BS32" s="33">
        <f t="shared" si="48"/>
        <v>0</v>
      </c>
      <c r="BT32" s="33">
        <f t="shared" si="48"/>
        <v>0</v>
      </c>
      <c r="BU32" s="33" t="e">
        <f t="shared" si="48"/>
        <v>#N/A</v>
      </c>
      <c r="BW32" s="143">
        <f t="shared" si="53"/>
        <v>40321.428571428572</v>
      </c>
      <c r="BX32" s="33">
        <f t="shared" si="49"/>
        <v>0</v>
      </c>
      <c r="BY32" s="33"/>
      <c r="BZ32" s="33" t="e">
        <f t="shared" si="54"/>
        <v>#N/A</v>
      </c>
      <c r="CA32" s="33" t="e">
        <f t="shared" si="54"/>
        <v>#N/A</v>
      </c>
      <c r="CB32" s="33" t="e">
        <f t="shared" si="54"/>
        <v>#N/A</v>
      </c>
      <c r="CC32" s="33" t="e">
        <f t="shared" si="54"/>
        <v>#N/A</v>
      </c>
      <c r="CD32" s="33">
        <f t="shared" si="54"/>
        <v>0</v>
      </c>
      <c r="CE32" s="33">
        <f t="shared" si="54"/>
        <v>0</v>
      </c>
      <c r="CF32" s="33">
        <f t="shared" si="54"/>
        <v>0</v>
      </c>
      <c r="CG32" s="33">
        <f t="shared" si="54"/>
        <v>0</v>
      </c>
      <c r="CH32" s="33">
        <f t="shared" si="54"/>
        <v>0</v>
      </c>
      <c r="CI32" s="33">
        <f t="shared" si="54"/>
        <v>0</v>
      </c>
      <c r="CJ32" s="33">
        <f t="shared" si="54"/>
        <v>0</v>
      </c>
      <c r="CK32" s="33">
        <f t="shared" si="54"/>
        <v>0</v>
      </c>
      <c r="CL32" s="33" t="e">
        <f t="shared" si="55"/>
        <v>#N/A</v>
      </c>
      <c r="CM32" s="33" t="e">
        <f t="shared" si="55"/>
        <v>#N/A</v>
      </c>
      <c r="CN32" s="33">
        <f t="shared" si="55"/>
        <v>0</v>
      </c>
      <c r="CO32" s="33">
        <f t="shared" si="55"/>
        <v>0</v>
      </c>
      <c r="CP32" s="33">
        <f t="shared" si="55"/>
        <v>0</v>
      </c>
      <c r="CQ32" s="33">
        <f t="shared" si="55"/>
        <v>0</v>
      </c>
      <c r="CR32" s="33" t="e">
        <f t="shared" si="55"/>
        <v>#N/A</v>
      </c>
      <c r="CS32" s="33"/>
      <c r="CT32" s="33"/>
      <c r="CU32" s="33"/>
      <c r="CV32" s="33"/>
      <c r="CW32" s="33"/>
      <c r="CX32" s="33"/>
      <c r="CY32" s="33"/>
      <c r="CZ32" s="33"/>
      <c r="DA32" s="33"/>
      <c r="DD32" s="33"/>
      <c r="DE32" s="33"/>
      <c r="DF32" s="33"/>
      <c r="DG32" s="33"/>
      <c r="DH32" s="33"/>
      <c r="DI32" s="33"/>
      <c r="DJ32" s="33"/>
      <c r="DK32" s="33"/>
      <c r="DL32" s="33"/>
      <c r="DM32" s="33"/>
      <c r="DN32" s="33"/>
      <c r="DO32" s="33"/>
      <c r="DP32" s="33"/>
      <c r="DQ32" s="33"/>
      <c r="DR32" s="33"/>
      <c r="DS32" s="33"/>
      <c r="DT32" s="33"/>
      <c r="DU32" s="33"/>
      <c r="DV32" s="33"/>
    </row>
    <row r="33" spans="9:126">
      <c r="I33" s="34"/>
      <c r="J33" s="129"/>
      <c r="L33" s="34"/>
      <c r="M33" s="34"/>
      <c r="S33" s="68"/>
      <c r="T33" s="68"/>
      <c r="U33" s="68"/>
      <c r="V33" s="68"/>
      <c r="W33" s="68"/>
      <c r="X33" s="68"/>
      <c r="Y33" s="68"/>
      <c r="Z33" s="68"/>
      <c r="AA33" s="68"/>
      <c r="AB33" s="68"/>
      <c r="AC33" s="68"/>
      <c r="AD33" s="68"/>
      <c r="AE33" s="68"/>
      <c r="AF33" s="68"/>
      <c r="AG33" s="68"/>
      <c r="AI33" s="34" t="e">
        <f t="shared" si="10"/>
        <v>#VALUE!</v>
      </c>
      <c r="AJ33" t="e">
        <f t="shared" si="9"/>
        <v>#VALUE!</v>
      </c>
      <c r="AK33" s="151">
        <v>44616</v>
      </c>
      <c r="AL33" s="134">
        <f t="shared" si="11"/>
        <v>17750</v>
      </c>
      <c r="AM33" s="33">
        <v>9350</v>
      </c>
      <c r="AN33" s="132">
        <v>370.9</v>
      </c>
      <c r="AO33" s="33">
        <v>0.49</v>
      </c>
      <c r="AP33" s="134">
        <v>17750</v>
      </c>
      <c r="AQ33" s="33">
        <v>18.48</v>
      </c>
      <c r="AR33" t="s">
        <v>502</v>
      </c>
      <c r="AS33" s="133">
        <v>424</v>
      </c>
      <c r="AT33" s="33">
        <v>-0.51</v>
      </c>
      <c r="AU33" s="33">
        <v>12750</v>
      </c>
      <c r="AV33" s="33">
        <v>-5.85</v>
      </c>
      <c r="AW33" s="33">
        <v>21.53</v>
      </c>
      <c r="AX33" s="33">
        <v>4.0000000000000002E-4</v>
      </c>
      <c r="AZ33" s="143">
        <f t="shared" si="52"/>
        <v>18085.714285714286</v>
      </c>
      <c r="BA33" s="33">
        <f t="shared" si="46"/>
        <v>62885.714285714312</v>
      </c>
      <c r="BB33" s="33"/>
      <c r="BC33" s="33">
        <f t="shared" si="47"/>
        <v>0</v>
      </c>
      <c r="BD33" s="33">
        <f t="shared" si="47"/>
        <v>0</v>
      </c>
      <c r="BE33" s="33">
        <f t="shared" si="47"/>
        <v>0</v>
      </c>
      <c r="BF33" s="33">
        <f t="shared" si="47"/>
        <v>0</v>
      </c>
      <c r="BG33" s="33">
        <f t="shared" si="47"/>
        <v>18000</v>
      </c>
      <c r="BH33" s="33">
        <f t="shared" si="47"/>
        <v>25500</v>
      </c>
      <c r="BI33" s="33">
        <f t="shared" si="47"/>
        <v>-13700</v>
      </c>
      <c r="BJ33" s="33">
        <f t="shared" si="57"/>
        <v>0</v>
      </c>
      <c r="BK33" s="33">
        <f t="shared" si="57"/>
        <v>0</v>
      </c>
      <c r="BL33" s="33">
        <f t="shared" si="57"/>
        <v>0</v>
      </c>
      <c r="BM33" s="33">
        <f t="shared" si="57"/>
        <v>0</v>
      </c>
      <c r="BN33" s="33">
        <f t="shared" si="57"/>
        <v>0</v>
      </c>
      <c r="BO33" s="33">
        <f t="shared" si="48"/>
        <v>0</v>
      </c>
      <c r="BP33" s="33">
        <f t="shared" si="48"/>
        <v>-8914.2857142856883</v>
      </c>
      <c r="BQ33" s="33">
        <f t="shared" si="48"/>
        <v>42000</v>
      </c>
      <c r="BR33" s="33">
        <f t="shared" si="48"/>
        <v>0</v>
      </c>
      <c r="BS33" s="33">
        <f t="shared" si="48"/>
        <v>0</v>
      </c>
      <c r="BT33" s="33">
        <f t="shared" si="48"/>
        <v>0</v>
      </c>
      <c r="BU33" s="33" t="e">
        <f t="shared" si="48"/>
        <v>#N/A</v>
      </c>
      <c r="BW33" s="143">
        <f t="shared" si="53"/>
        <v>40371.428571428572</v>
      </c>
      <c r="BX33" s="33">
        <f t="shared" si="49"/>
        <v>0</v>
      </c>
      <c r="BY33" s="33"/>
      <c r="BZ33" s="33" t="e">
        <f t="shared" si="54"/>
        <v>#N/A</v>
      </c>
      <c r="CA33" s="33" t="e">
        <f t="shared" si="54"/>
        <v>#N/A</v>
      </c>
      <c r="CB33" s="33" t="e">
        <f t="shared" si="54"/>
        <v>#N/A</v>
      </c>
      <c r="CC33" s="33" t="e">
        <f t="shared" si="54"/>
        <v>#N/A</v>
      </c>
      <c r="CD33" s="33">
        <f t="shared" si="54"/>
        <v>0</v>
      </c>
      <c r="CE33" s="33">
        <f t="shared" si="54"/>
        <v>0</v>
      </c>
      <c r="CF33" s="33">
        <f t="shared" si="54"/>
        <v>0</v>
      </c>
      <c r="CG33" s="33">
        <f t="shared" si="54"/>
        <v>0</v>
      </c>
      <c r="CH33" s="33">
        <f t="shared" si="54"/>
        <v>0</v>
      </c>
      <c r="CI33" s="33">
        <f t="shared" si="54"/>
        <v>0</v>
      </c>
      <c r="CJ33" s="33">
        <f t="shared" si="54"/>
        <v>0</v>
      </c>
      <c r="CK33" s="33">
        <f t="shared" si="54"/>
        <v>0</v>
      </c>
      <c r="CL33" s="33" t="e">
        <f t="shared" si="55"/>
        <v>#N/A</v>
      </c>
      <c r="CM33" s="33" t="e">
        <f t="shared" si="55"/>
        <v>#N/A</v>
      </c>
      <c r="CN33" s="33">
        <f t="shared" si="55"/>
        <v>0</v>
      </c>
      <c r="CO33" s="33">
        <f t="shared" si="55"/>
        <v>0</v>
      </c>
      <c r="CP33" s="33">
        <f t="shared" si="55"/>
        <v>0</v>
      </c>
      <c r="CQ33" s="33">
        <f t="shared" si="55"/>
        <v>0</v>
      </c>
      <c r="CR33" s="33" t="e">
        <f t="shared" si="55"/>
        <v>#N/A</v>
      </c>
      <c r="CS33" s="33"/>
      <c r="CT33" s="33"/>
      <c r="CU33" s="33"/>
      <c r="CV33" s="33"/>
      <c r="CW33" s="33"/>
      <c r="CX33" s="33"/>
      <c r="CY33" s="33"/>
      <c r="CZ33" s="33"/>
      <c r="DA33" s="33"/>
      <c r="DD33" s="33"/>
      <c r="DE33" s="33"/>
      <c r="DF33" s="33"/>
      <c r="DG33" s="33"/>
      <c r="DH33" s="33"/>
      <c r="DI33" s="33"/>
      <c r="DJ33" s="33"/>
      <c r="DK33" s="33"/>
      <c r="DL33" s="33"/>
      <c r="DM33" s="33"/>
      <c r="DN33" s="33"/>
      <c r="DO33" s="33"/>
      <c r="DP33" s="33"/>
      <c r="DQ33" s="33"/>
      <c r="DR33" s="33"/>
      <c r="DS33" s="33"/>
      <c r="DT33" s="33"/>
      <c r="DU33" s="33"/>
      <c r="DV33" s="33"/>
    </row>
    <row r="34" spans="9:126">
      <c r="I34" s="34"/>
      <c r="J34" s="129"/>
      <c r="L34" s="34"/>
      <c r="M34" s="34"/>
      <c r="S34" s="68"/>
      <c r="T34" s="68"/>
      <c r="U34" s="68"/>
      <c r="V34" s="68"/>
      <c r="W34" s="68"/>
      <c r="X34" s="68"/>
      <c r="Y34" s="68"/>
      <c r="Z34" s="68"/>
      <c r="AA34" s="68"/>
      <c r="AB34" s="68"/>
      <c r="AC34" s="68"/>
      <c r="AD34" s="68"/>
      <c r="AE34" s="68"/>
      <c r="AF34" s="68"/>
      <c r="AG34" s="68"/>
      <c r="AI34" s="34" t="e">
        <f t="shared" si="10"/>
        <v>#VALUE!</v>
      </c>
      <c r="AJ34" t="e">
        <f t="shared" si="9"/>
        <v>#VALUE!</v>
      </c>
      <c r="AK34" s="151">
        <v>44616</v>
      </c>
      <c r="AL34" s="134">
        <f t="shared" si="11"/>
        <v>17800</v>
      </c>
      <c r="AM34" s="33">
        <v>244400</v>
      </c>
      <c r="AN34" s="132">
        <v>349</v>
      </c>
      <c r="AO34" s="33">
        <v>0.47</v>
      </c>
      <c r="AP34" s="134">
        <v>17800</v>
      </c>
      <c r="AQ34" s="33">
        <v>18.52</v>
      </c>
      <c r="AR34" t="s">
        <v>502</v>
      </c>
      <c r="AS34" s="133">
        <v>446.7</v>
      </c>
      <c r="AT34" s="33">
        <v>-0.53</v>
      </c>
      <c r="AU34" s="33">
        <v>247500</v>
      </c>
      <c r="AV34" s="33">
        <v>-5.85</v>
      </c>
      <c r="AW34" s="33">
        <v>21.48</v>
      </c>
      <c r="AX34" s="33">
        <v>4.0000000000000002E-4</v>
      </c>
      <c r="AZ34" s="143">
        <f t="shared" si="52"/>
        <v>18185.714285714286</v>
      </c>
      <c r="BA34" s="33">
        <f t="shared" si="46"/>
        <v>67885.714285714319</v>
      </c>
      <c r="BB34" s="33"/>
      <c r="BC34" s="33">
        <f t="shared" si="47"/>
        <v>0</v>
      </c>
      <c r="BD34" s="33">
        <f t="shared" si="47"/>
        <v>0</v>
      </c>
      <c r="BE34" s="33">
        <f t="shared" si="47"/>
        <v>0</v>
      </c>
      <c r="BF34" s="33">
        <f t="shared" si="47"/>
        <v>0</v>
      </c>
      <c r="BG34" s="33">
        <f t="shared" si="47"/>
        <v>18000</v>
      </c>
      <c r="BH34" s="33">
        <f t="shared" si="47"/>
        <v>25500</v>
      </c>
      <c r="BI34" s="33">
        <f t="shared" si="47"/>
        <v>-13700</v>
      </c>
      <c r="BJ34" s="33">
        <f t="shared" si="57"/>
        <v>0</v>
      </c>
      <c r="BK34" s="33">
        <f t="shared" si="57"/>
        <v>0</v>
      </c>
      <c r="BL34" s="33">
        <f t="shared" si="57"/>
        <v>0</v>
      </c>
      <c r="BM34" s="33">
        <f t="shared" si="57"/>
        <v>0</v>
      </c>
      <c r="BN34" s="33">
        <f t="shared" si="57"/>
        <v>0</v>
      </c>
      <c r="BO34" s="33">
        <f t="shared" si="48"/>
        <v>0</v>
      </c>
      <c r="BP34" s="33">
        <f t="shared" si="48"/>
        <v>-3914.2857142856883</v>
      </c>
      <c r="BQ34" s="33">
        <f t="shared" si="48"/>
        <v>42000</v>
      </c>
      <c r="BR34" s="33">
        <f t="shared" si="48"/>
        <v>0</v>
      </c>
      <c r="BS34" s="33">
        <f t="shared" si="48"/>
        <v>0</v>
      </c>
      <c r="BT34" s="33">
        <f t="shared" si="48"/>
        <v>0</v>
      </c>
      <c r="BU34" s="33" t="e">
        <f t="shared" si="48"/>
        <v>#N/A</v>
      </c>
      <c r="BW34" s="143">
        <f t="shared" si="53"/>
        <v>40421.428571428572</v>
      </c>
      <c r="BX34" s="33">
        <f t="shared" si="49"/>
        <v>0</v>
      </c>
      <c r="BY34" s="33"/>
      <c r="BZ34" s="33" t="e">
        <f t="shared" si="54"/>
        <v>#N/A</v>
      </c>
      <c r="CA34" s="33" t="e">
        <f t="shared" si="54"/>
        <v>#N/A</v>
      </c>
      <c r="CB34" s="33" t="e">
        <f t="shared" si="54"/>
        <v>#N/A</v>
      </c>
      <c r="CC34" s="33" t="e">
        <f t="shared" si="54"/>
        <v>#N/A</v>
      </c>
      <c r="CD34" s="33">
        <f t="shared" si="54"/>
        <v>0</v>
      </c>
      <c r="CE34" s="33">
        <f t="shared" si="54"/>
        <v>0</v>
      </c>
      <c r="CF34" s="33">
        <f t="shared" si="54"/>
        <v>0</v>
      </c>
      <c r="CG34" s="33">
        <f t="shared" si="54"/>
        <v>0</v>
      </c>
      <c r="CH34" s="33">
        <f t="shared" si="54"/>
        <v>0</v>
      </c>
      <c r="CI34" s="33">
        <f t="shared" si="54"/>
        <v>0</v>
      </c>
      <c r="CJ34" s="33">
        <f t="shared" si="54"/>
        <v>0</v>
      </c>
      <c r="CK34" s="33">
        <f t="shared" si="54"/>
        <v>0</v>
      </c>
      <c r="CL34" s="33" t="e">
        <f t="shared" si="55"/>
        <v>#N/A</v>
      </c>
      <c r="CM34" s="33" t="e">
        <f t="shared" si="55"/>
        <v>#N/A</v>
      </c>
      <c r="CN34" s="33">
        <f t="shared" si="55"/>
        <v>0</v>
      </c>
      <c r="CO34" s="33">
        <f t="shared" si="55"/>
        <v>0</v>
      </c>
      <c r="CP34" s="33">
        <f t="shared" si="55"/>
        <v>0</v>
      </c>
      <c r="CQ34" s="33">
        <f t="shared" si="55"/>
        <v>0</v>
      </c>
      <c r="CR34" s="33" t="e">
        <f t="shared" si="55"/>
        <v>#N/A</v>
      </c>
      <c r="CS34" s="33"/>
      <c r="CT34" s="33"/>
      <c r="CU34" s="33"/>
      <c r="CV34" s="33"/>
      <c r="CW34" s="33"/>
      <c r="CX34" s="33"/>
      <c r="CY34" s="33"/>
      <c r="CZ34" s="33"/>
      <c r="DA34" s="33"/>
      <c r="DD34" s="33"/>
      <c r="DE34" s="33"/>
      <c r="DF34" s="33"/>
      <c r="DG34" s="33"/>
      <c r="DH34" s="33"/>
      <c r="DI34" s="33"/>
      <c r="DJ34" s="33"/>
      <c r="DK34" s="33"/>
      <c r="DL34" s="33"/>
      <c r="DM34" s="33"/>
      <c r="DN34" s="33"/>
      <c r="DO34" s="33"/>
      <c r="DP34" s="33"/>
      <c r="DQ34" s="33"/>
      <c r="DR34" s="33"/>
      <c r="DS34" s="33"/>
      <c r="DT34" s="33"/>
      <c r="DU34" s="33"/>
      <c r="DV34" s="33"/>
    </row>
    <row r="35" spans="9:126">
      <c r="I35" s="34"/>
      <c r="J35" s="129"/>
      <c r="L35" s="34"/>
      <c r="M35" s="34"/>
      <c r="S35" s="68"/>
      <c r="T35" s="68"/>
      <c r="U35" s="68"/>
      <c r="V35" s="68"/>
      <c r="W35" s="68"/>
      <c r="X35" s="68"/>
      <c r="Y35" s="68"/>
      <c r="Z35" s="68"/>
      <c r="AA35" s="68"/>
      <c r="AB35" s="68"/>
      <c r="AC35" s="68"/>
      <c r="AD35" s="68"/>
      <c r="AE35" s="68"/>
      <c r="AF35" s="68"/>
      <c r="AG35" s="68"/>
      <c r="AI35" s="34" t="e">
        <f t="shared" si="10"/>
        <v>#VALUE!</v>
      </c>
      <c r="AJ35" t="e">
        <f t="shared" si="9"/>
        <v>#VALUE!</v>
      </c>
      <c r="AK35" s="151">
        <v>44616</v>
      </c>
      <c r="AL35" s="134">
        <f t="shared" si="11"/>
        <v>17850</v>
      </c>
      <c r="AM35" s="33">
        <v>14800</v>
      </c>
      <c r="AN35" s="132">
        <v>315.45</v>
      </c>
      <c r="AO35" s="33">
        <v>0.45</v>
      </c>
      <c r="AP35" s="134">
        <v>17850</v>
      </c>
      <c r="AQ35" s="33">
        <v>17.98</v>
      </c>
      <c r="AR35" t="s">
        <v>502</v>
      </c>
      <c r="AS35" s="133">
        <v>476</v>
      </c>
      <c r="AT35" s="33">
        <v>-0.55000000000000004</v>
      </c>
      <c r="AU35" s="33">
        <v>9250</v>
      </c>
      <c r="AV35" s="33">
        <v>-5.64</v>
      </c>
      <c r="AW35" s="33">
        <v>21.35</v>
      </c>
      <c r="AX35" s="33">
        <v>4.0999999999999999E-4</v>
      </c>
      <c r="AZ35" s="143">
        <f t="shared" si="52"/>
        <v>18285.714285714286</v>
      </c>
      <c r="BA35" s="33">
        <f t="shared" si="46"/>
        <v>72885.714285714319</v>
      </c>
      <c r="BB35" s="33"/>
      <c r="BC35" s="33">
        <f t="shared" si="47"/>
        <v>0</v>
      </c>
      <c r="BD35" s="33">
        <f t="shared" si="47"/>
        <v>0</v>
      </c>
      <c r="BE35" s="33">
        <f t="shared" si="47"/>
        <v>0</v>
      </c>
      <c r="BF35" s="33">
        <f t="shared" si="47"/>
        <v>0</v>
      </c>
      <c r="BG35" s="33">
        <f t="shared" si="47"/>
        <v>18000</v>
      </c>
      <c r="BH35" s="33">
        <f t="shared" si="47"/>
        <v>25500</v>
      </c>
      <c r="BI35" s="33">
        <f t="shared" si="47"/>
        <v>-13700</v>
      </c>
      <c r="BJ35" s="33">
        <f t="shared" si="57"/>
        <v>0</v>
      </c>
      <c r="BK35" s="33">
        <f t="shared" si="57"/>
        <v>0</v>
      </c>
      <c r="BL35" s="33">
        <f t="shared" si="57"/>
        <v>0</v>
      </c>
      <c r="BM35" s="33">
        <f t="shared" si="57"/>
        <v>0</v>
      </c>
      <c r="BN35" s="33">
        <f t="shared" si="57"/>
        <v>0</v>
      </c>
      <c r="BO35" s="33">
        <f t="shared" si="48"/>
        <v>0</v>
      </c>
      <c r="BP35" s="33">
        <f t="shared" si="48"/>
        <v>1085.7142857143117</v>
      </c>
      <c r="BQ35" s="33">
        <f t="shared" si="48"/>
        <v>42000</v>
      </c>
      <c r="BR35" s="33">
        <f t="shared" si="48"/>
        <v>0</v>
      </c>
      <c r="BS35" s="33">
        <f t="shared" si="48"/>
        <v>0</v>
      </c>
      <c r="BT35" s="33">
        <f t="shared" si="48"/>
        <v>0</v>
      </c>
      <c r="BU35" s="33" t="e">
        <f t="shared" si="48"/>
        <v>#N/A</v>
      </c>
      <c r="BW35" s="143">
        <f t="shared" si="53"/>
        <v>40471.428571428572</v>
      </c>
      <c r="BX35" s="33">
        <f t="shared" si="49"/>
        <v>0</v>
      </c>
      <c r="BY35" s="33"/>
      <c r="BZ35" s="33" t="e">
        <f t="shared" si="54"/>
        <v>#N/A</v>
      </c>
      <c r="CA35" s="33" t="e">
        <f t="shared" si="54"/>
        <v>#N/A</v>
      </c>
      <c r="CB35" s="33" t="e">
        <f t="shared" si="54"/>
        <v>#N/A</v>
      </c>
      <c r="CC35" s="33" t="e">
        <f t="shared" si="54"/>
        <v>#N/A</v>
      </c>
      <c r="CD35" s="33">
        <f t="shared" si="54"/>
        <v>0</v>
      </c>
      <c r="CE35" s="33">
        <f t="shared" si="54"/>
        <v>0</v>
      </c>
      <c r="CF35" s="33">
        <f t="shared" si="54"/>
        <v>0</v>
      </c>
      <c r="CG35" s="33">
        <f t="shared" si="54"/>
        <v>0</v>
      </c>
      <c r="CH35" s="33">
        <f t="shared" si="54"/>
        <v>0</v>
      </c>
      <c r="CI35" s="33">
        <f t="shared" si="54"/>
        <v>0</v>
      </c>
      <c r="CJ35" s="33">
        <f t="shared" si="54"/>
        <v>0</v>
      </c>
      <c r="CK35" s="33">
        <f t="shared" si="54"/>
        <v>0</v>
      </c>
      <c r="CL35" s="33" t="e">
        <f t="shared" si="55"/>
        <v>#N/A</v>
      </c>
      <c r="CM35" s="33" t="e">
        <f t="shared" si="55"/>
        <v>#N/A</v>
      </c>
      <c r="CN35" s="33">
        <f t="shared" si="55"/>
        <v>0</v>
      </c>
      <c r="CO35" s="33">
        <f t="shared" si="55"/>
        <v>0</v>
      </c>
      <c r="CP35" s="33">
        <f t="shared" si="55"/>
        <v>0</v>
      </c>
      <c r="CQ35" s="33">
        <f t="shared" si="55"/>
        <v>0</v>
      </c>
      <c r="CR35" s="33" t="e">
        <f t="shared" si="55"/>
        <v>#N/A</v>
      </c>
      <c r="CS35" s="33"/>
      <c r="CT35" s="33"/>
      <c r="CU35" s="33"/>
      <c r="CV35" s="33"/>
      <c r="CW35" s="33"/>
      <c r="CX35" s="33"/>
      <c r="CY35" s="33"/>
      <c r="CZ35" s="33"/>
      <c r="DA35" s="33"/>
      <c r="DD35" s="33"/>
      <c r="DE35" s="33"/>
      <c r="DF35" s="33"/>
      <c r="DG35" s="33"/>
      <c r="DH35" s="33"/>
      <c r="DI35" s="33"/>
      <c r="DJ35" s="33"/>
      <c r="DK35" s="33"/>
      <c r="DL35" s="33"/>
      <c r="DM35" s="33"/>
      <c r="DN35" s="33"/>
      <c r="DO35" s="33"/>
      <c r="DP35" s="33"/>
      <c r="DQ35" s="33"/>
      <c r="DR35" s="33"/>
      <c r="DS35" s="33"/>
      <c r="DT35" s="33"/>
      <c r="DU35" s="33"/>
      <c r="DV35" s="33"/>
    </row>
    <row r="36" spans="9:126">
      <c r="I36" s="34"/>
      <c r="J36" s="129"/>
      <c r="L36" s="34"/>
      <c r="M36" s="34"/>
      <c r="S36" s="68"/>
      <c r="T36" s="68"/>
      <c r="U36" s="68"/>
      <c r="V36" s="68"/>
      <c r="W36" s="68"/>
      <c r="X36" s="68"/>
      <c r="Y36" s="68"/>
      <c r="Z36" s="68"/>
      <c r="AA36" s="68"/>
      <c r="AB36" s="68"/>
      <c r="AC36" s="68"/>
      <c r="AD36" s="68"/>
      <c r="AE36" s="68"/>
      <c r="AF36" s="68"/>
      <c r="AG36" s="68"/>
      <c r="AI36" s="34" t="e">
        <f t="shared" si="10"/>
        <v>#VALUE!</v>
      </c>
      <c r="AJ36" t="e">
        <f t="shared" si="9"/>
        <v>#VALUE!</v>
      </c>
      <c r="AK36" s="151">
        <v>44616</v>
      </c>
      <c r="AL36" s="134">
        <f t="shared" si="11"/>
        <v>17900</v>
      </c>
      <c r="AM36" s="33">
        <v>147000</v>
      </c>
      <c r="AN36" s="132">
        <v>302</v>
      </c>
      <c r="AO36" s="33">
        <v>0.43</v>
      </c>
      <c r="AP36" s="134">
        <v>17900</v>
      </c>
      <c r="AQ36" s="33">
        <v>18.32</v>
      </c>
      <c r="AR36" t="s">
        <v>502</v>
      </c>
      <c r="AS36" s="133">
        <v>504.4</v>
      </c>
      <c r="AT36" s="33">
        <v>-0.56999999999999995</v>
      </c>
      <c r="AU36" s="33">
        <v>150000</v>
      </c>
      <c r="AV36" s="33">
        <v>-5.71</v>
      </c>
      <c r="AW36" s="33">
        <v>21.2</v>
      </c>
      <c r="AX36" s="33">
        <v>4.0000000000000002E-4</v>
      </c>
      <c r="AZ36" s="143">
        <f t="shared" si="52"/>
        <v>18385.714285714286</v>
      </c>
      <c r="BA36" s="33">
        <f t="shared" si="46"/>
        <v>77885.714285714319</v>
      </c>
      <c r="BB36" s="33"/>
      <c r="BC36" s="33">
        <f t="shared" si="47"/>
        <v>0</v>
      </c>
      <c r="BD36" s="33">
        <f t="shared" si="47"/>
        <v>0</v>
      </c>
      <c r="BE36" s="33">
        <f t="shared" si="47"/>
        <v>0</v>
      </c>
      <c r="BF36" s="33">
        <f t="shared" si="47"/>
        <v>0</v>
      </c>
      <c r="BG36" s="33">
        <f t="shared" si="47"/>
        <v>18000</v>
      </c>
      <c r="BH36" s="33">
        <f t="shared" si="47"/>
        <v>25500</v>
      </c>
      <c r="BI36" s="33">
        <f t="shared" si="47"/>
        <v>-13700</v>
      </c>
      <c r="BJ36" s="33">
        <f t="shared" si="57"/>
        <v>0</v>
      </c>
      <c r="BK36" s="33">
        <f t="shared" si="57"/>
        <v>0</v>
      </c>
      <c r="BL36" s="33">
        <f t="shared" si="57"/>
        <v>0</v>
      </c>
      <c r="BM36" s="33">
        <f t="shared" si="57"/>
        <v>0</v>
      </c>
      <c r="BN36" s="33">
        <f t="shared" si="57"/>
        <v>0</v>
      </c>
      <c r="BO36" s="33">
        <f t="shared" si="48"/>
        <v>0</v>
      </c>
      <c r="BP36" s="33">
        <f t="shared" si="48"/>
        <v>6085.7142857143117</v>
      </c>
      <c r="BQ36" s="33">
        <f t="shared" si="48"/>
        <v>42000</v>
      </c>
      <c r="BR36" s="33">
        <f t="shared" si="48"/>
        <v>0</v>
      </c>
      <c r="BS36" s="33">
        <f t="shared" si="48"/>
        <v>0</v>
      </c>
      <c r="BT36" s="33">
        <f t="shared" si="48"/>
        <v>0</v>
      </c>
      <c r="BU36" s="33" t="e">
        <f t="shared" si="48"/>
        <v>#N/A</v>
      </c>
      <c r="BW36" s="143">
        <f t="shared" si="53"/>
        <v>40521.428571428572</v>
      </c>
      <c r="BX36" s="33">
        <f t="shared" si="49"/>
        <v>0</v>
      </c>
      <c r="BY36" s="33"/>
      <c r="BZ36" s="33" t="e">
        <f t="shared" si="54"/>
        <v>#N/A</v>
      </c>
      <c r="CA36" s="33" t="e">
        <f t="shared" si="54"/>
        <v>#N/A</v>
      </c>
      <c r="CB36" s="33" t="e">
        <f t="shared" si="54"/>
        <v>#N/A</v>
      </c>
      <c r="CC36" s="33" t="e">
        <f t="shared" si="54"/>
        <v>#N/A</v>
      </c>
      <c r="CD36" s="33">
        <f t="shared" si="54"/>
        <v>0</v>
      </c>
      <c r="CE36" s="33">
        <f t="shared" si="54"/>
        <v>0</v>
      </c>
      <c r="CF36" s="33">
        <f t="shared" si="54"/>
        <v>0</v>
      </c>
      <c r="CG36" s="33">
        <f t="shared" si="54"/>
        <v>0</v>
      </c>
      <c r="CH36" s="33">
        <f t="shared" si="54"/>
        <v>0</v>
      </c>
      <c r="CI36" s="33">
        <f t="shared" si="54"/>
        <v>0</v>
      </c>
      <c r="CJ36" s="33">
        <f t="shared" si="54"/>
        <v>0</v>
      </c>
      <c r="CK36" s="33">
        <f t="shared" si="54"/>
        <v>0</v>
      </c>
      <c r="CL36" s="33" t="e">
        <f t="shared" si="55"/>
        <v>#N/A</v>
      </c>
      <c r="CM36" s="33" t="e">
        <f t="shared" si="55"/>
        <v>#N/A</v>
      </c>
      <c r="CN36" s="33">
        <f t="shared" si="55"/>
        <v>0</v>
      </c>
      <c r="CO36" s="33">
        <f t="shared" si="55"/>
        <v>0</v>
      </c>
      <c r="CP36" s="33">
        <f t="shared" si="55"/>
        <v>0</v>
      </c>
      <c r="CQ36" s="33">
        <f t="shared" si="55"/>
        <v>0</v>
      </c>
      <c r="CR36" s="33" t="e">
        <f t="shared" si="55"/>
        <v>#N/A</v>
      </c>
      <c r="CS36" s="33"/>
      <c r="CT36" s="33"/>
      <c r="CU36" s="33"/>
      <c r="CV36" s="33"/>
      <c r="CW36" s="33"/>
      <c r="CX36" s="33"/>
      <c r="CY36" s="33"/>
      <c r="CZ36" s="33"/>
      <c r="DA36" s="33"/>
      <c r="DD36" s="33"/>
      <c r="DE36" s="33"/>
      <c r="DF36" s="33"/>
      <c r="DG36" s="33"/>
      <c r="DH36" s="33"/>
      <c r="DI36" s="33"/>
      <c r="DJ36" s="33"/>
      <c r="DK36" s="33"/>
      <c r="DL36" s="33"/>
      <c r="DM36" s="33"/>
      <c r="DN36" s="33"/>
      <c r="DO36" s="33"/>
      <c r="DP36" s="33"/>
      <c r="DQ36" s="33"/>
      <c r="DR36" s="33"/>
      <c r="DS36" s="33"/>
      <c r="DT36" s="33"/>
      <c r="DU36" s="33"/>
      <c r="DV36" s="33"/>
    </row>
    <row r="37" spans="9:126">
      <c r="I37" s="34"/>
      <c r="J37" s="129"/>
      <c r="L37" s="34"/>
      <c r="M37" s="34"/>
      <c r="S37" s="68"/>
      <c r="T37" s="68"/>
      <c r="U37" s="68"/>
      <c r="V37" s="68"/>
      <c r="W37" s="68"/>
      <c r="X37" s="68"/>
      <c r="Y37" s="68"/>
      <c r="Z37" s="68"/>
      <c r="AA37" s="68"/>
      <c r="AB37" s="68"/>
      <c r="AC37" s="68"/>
      <c r="AD37" s="68"/>
      <c r="AE37" s="68"/>
      <c r="AF37" s="68"/>
      <c r="AG37" s="68"/>
      <c r="AI37" s="34" t="e">
        <f t="shared" si="10"/>
        <v>#VALUE!</v>
      </c>
      <c r="AJ37" t="e">
        <f t="shared" si="9"/>
        <v>#VALUE!</v>
      </c>
      <c r="AK37" s="151">
        <v>44616</v>
      </c>
      <c r="AL37" s="134">
        <f t="shared" si="11"/>
        <v>17950</v>
      </c>
      <c r="AM37" s="33">
        <v>18050</v>
      </c>
      <c r="AN37" s="132">
        <v>284.89999999999998</v>
      </c>
      <c r="AO37" s="33">
        <v>0.41</v>
      </c>
      <c r="AP37" s="134">
        <v>17950</v>
      </c>
      <c r="AQ37" s="33">
        <v>18.45</v>
      </c>
      <c r="AR37" t="s">
        <v>502</v>
      </c>
      <c r="AS37" s="133">
        <v>531.4</v>
      </c>
      <c r="AT37" s="33">
        <v>-0.59</v>
      </c>
      <c r="AU37" s="33">
        <v>4850</v>
      </c>
      <c r="AV37" s="33">
        <v>-5.7</v>
      </c>
      <c r="AW37" s="33">
        <v>20.99</v>
      </c>
      <c r="AX37" s="33">
        <v>3.8999999999999999E-4</v>
      </c>
      <c r="AZ37" s="143">
        <f t="shared" si="52"/>
        <v>18485.714285714286</v>
      </c>
      <c r="BA37" s="33">
        <f t="shared" si="46"/>
        <v>82885.714285714319</v>
      </c>
      <c r="BB37" s="33"/>
      <c r="BC37" s="33">
        <f t="shared" si="47"/>
        <v>0</v>
      </c>
      <c r="BD37" s="33">
        <f t="shared" si="47"/>
        <v>0</v>
      </c>
      <c r="BE37" s="33">
        <f t="shared" si="47"/>
        <v>0</v>
      </c>
      <c r="BF37" s="33">
        <f t="shared" si="47"/>
        <v>0</v>
      </c>
      <c r="BG37" s="33">
        <f t="shared" si="47"/>
        <v>18000</v>
      </c>
      <c r="BH37" s="33">
        <f t="shared" si="47"/>
        <v>25500</v>
      </c>
      <c r="BI37" s="33">
        <f t="shared" si="47"/>
        <v>-13700</v>
      </c>
      <c r="BJ37" s="33">
        <f t="shared" si="57"/>
        <v>0</v>
      </c>
      <c r="BK37" s="33">
        <f t="shared" si="57"/>
        <v>0</v>
      </c>
      <c r="BL37" s="33">
        <f t="shared" si="57"/>
        <v>0</v>
      </c>
      <c r="BM37" s="33">
        <f t="shared" si="57"/>
        <v>0</v>
      </c>
      <c r="BN37" s="33">
        <f t="shared" si="57"/>
        <v>0</v>
      </c>
      <c r="BO37" s="33">
        <f t="shared" si="48"/>
        <v>0</v>
      </c>
      <c r="BP37" s="33">
        <f t="shared" si="48"/>
        <v>11085.714285714312</v>
      </c>
      <c r="BQ37" s="33">
        <f t="shared" si="48"/>
        <v>42000</v>
      </c>
      <c r="BR37" s="33">
        <f t="shared" si="48"/>
        <v>0</v>
      </c>
      <c r="BS37" s="33">
        <f t="shared" si="48"/>
        <v>0</v>
      </c>
      <c r="BT37" s="33">
        <f t="shared" si="48"/>
        <v>0</v>
      </c>
      <c r="BU37" s="33" t="e">
        <f t="shared" si="48"/>
        <v>#N/A</v>
      </c>
      <c r="BW37" s="143">
        <f t="shared" si="53"/>
        <v>40571.428571428572</v>
      </c>
      <c r="BX37" s="33">
        <f t="shared" si="49"/>
        <v>0</v>
      </c>
      <c r="BY37" s="33"/>
      <c r="BZ37" s="33" t="e">
        <f t="shared" si="54"/>
        <v>#N/A</v>
      </c>
      <c r="CA37" s="33" t="e">
        <f t="shared" si="54"/>
        <v>#N/A</v>
      </c>
      <c r="CB37" s="33" t="e">
        <f t="shared" si="54"/>
        <v>#N/A</v>
      </c>
      <c r="CC37" s="33" t="e">
        <f t="shared" si="54"/>
        <v>#N/A</v>
      </c>
      <c r="CD37" s="33">
        <f t="shared" si="54"/>
        <v>0</v>
      </c>
      <c r="CE37" s="33">
        <f t="shared" si="54"/>
        <v>0</v>
      </c>
      <c r="CF37" s="33">
        <f t="shared" si="54"/>
        <v>0</v>
      </c>
      <c r="CG37" s="33">
        <f t="shared" si="54"/>
        <v>0</v>
      </c>
      <c r="CH37" s="33">
        <f t="shared" si="54"/>
        <v>0</v>
      </c>
      <c r="CI37" s="33">
        <f t="shared" si="54"/>
        <v>0</v>
      </c>
      <c r="CJ37" s="33">
        <f t="shared" si="54"/>
        <v>0</v>
      </c>
      <c r="CK37" s="33">
        <f t="shared" si="54"/>
        <v>0</v>
      </c>
      <c r="CL37" s="33" t="e">
        <f t="shared" si="55"/>
        <v>#N/A</v>
      </c>
      <c r="CM37" s="33" t="e">
        <f t="shared" si="55"/>
        <v>#N/A</v>
      </c>
      <c r="CN37" s="33">
        <f t="shared" si="55"/>
        <v>0</v>
      </c>
      <c r="CO37" s="33">
        <f t="shared" si="55"/>
        <v>0</v>
      </c>
      <c r="CP37" s="33">
        <f t="shared" si="55"/>
        <v>0</v>
      </c>
      <c r="CQ37" s="33">
        <f t="shared" si="55"/>
        <v>0</v>
      </c>
      <c r="CR37" s="33" t="e">
        <f t="shared" si="55"/>
        <v>#N/A</v>
      </c>
      <c r="CS37" s="33"/>
      <c r="CT37" s="33"/>
      <c r="CU37" s="33"/>
      <c r="CV37" s="33"/>
      <c r="CW37" s="33"/>
      <c r="CX37" s="33"/>
      <c r="CY37" s="33"/>
      <c r="CZ37" s="33"/>
      <c r="DA37" s="33"/>
      <c r="DD37" s="33"/>
      <c r="DE37" s="33"/>
      <c r="DF37" s="33"/>
      <c r="DG37" s="33"/>
      <c r="DH37" s="33"/>
      <c r="DI37" s="33"/>
      <c r="DJ37" s="33"/>
      <c r="DK37" s="33"/>
      <c r="DL37" s="33"/>
      <c r="DM37" s="33"/>
      <c r="DN37" s="33"/>
      <c r="DO37" s="33"/>
      <c r="DP37" s="33"/>
      <c r="DQ37" s="33"/>
      <c r="DR37" s="33"/>
      <c r="DS37" s="33"/>
      <c r="DT37" s="33"/>
      <c r="DU37" s="33"/>
      <c r="DV37" s="33"/>
    </row>
    <row r="38" spans="9:126">
      <c r="I38" s="34"/>
      <c r="J38" s="129"/>
      <c r="L38" s="34"/>
      <c r="M38" s="34"/>
      <c r="S38" s="68"/>
      <c r="T38" s="68"/>
      <c r="U38" s="68"/>
      <c r="V38" s="68"/>
      <c r="W38" s="68"/>
      <c r="X38" s="68"/>
      <c r="Y38" s="68"/>
      <c r="Z38" s="68"/>
      <c r="AA38" s="68"/>
      <c r="AB38" s="68"/>
      <c r="AC38" s="68"/>
      <c r="AD38" s="68"/>
      <c r="AE38" s="68"/>
      <c r="AF38" s="68"/>
      <c r="AG38" s="68"/>
      <c r="AI38" s="34" t="e">
        <f t="shared" si="10"/>
        <v>#VALUE!</v>
      </c>
      <c r="AJ38" t="e">
        <f t="shared" si="9"/>
        <v>#VALUE!</v>
      </c>
      <c r="AK38" s="151">
        <v>44616</v>
      </c>
      <c r="AL38" s="134">
        <f t="shared" si="11"/>
        <v>18000</v>
      </c>
      <c r="AM38" s="33">
        <v>1074350</v>
      </c>
      <c r="AN38" s="132">
        <v>264</v>
      </c>
      <c r="AO38" s="33">
        <v>0.39</v>
      </c>
      <c r="AP38" s="134">
        <v>18000</v>
      </c>
      <c r="AQ38" s="33">
        <v>18.36</v>
      </c>
      <c r="AR38" t="s">
        <v>502</v>
      </c>
      <c r="AS38" s="133">
        <v>558.4</v>
      </c>
      <c r="AT38" s="33">
        <v>-0.61</v>
      </c>
      <c r="AU38" s="33">
        <v>963550</v>
      </c>
      <c r="AV38" s="33">
        <v>-5.59</v>
      </c>
      <c r="AW38" s="33">
        <v>20.72</v>
      </c>
      <c r="AX38" s="33">
        <v>3.8999999999999999E-4</v>
      </c>
      <c r="AZ38" s="143">
        <f t="shared" si="52"/>
        <v>18585.714285714286</v>
      </c>
      <c r="BA38" s="33">
        <f t="shared" si="46"/>
        <v>87885.714285714319</v>
      </c>
      <c r="BB38" s="33"/>
      <c r="BC38" s="33">
        <f t="shared" si="47"/>
        <v>0</v>
      </c>
      <c r="BD38" s="33">
        <f t="shared" si="47"/>
        <v>0</v>
      </c>
      <c r="BE38" s="33">
        <f t="shared" si="47"/>
        <v>0</v>
      </c>
      <c r="BF38" s="33">
        <f t="shared" si="47"/>
        <v>0</v>
      </c>
      <c r="BG38" s="33">
        <f t="shared" si="47"/>
        <v>18000</v>
      </c>
      <c r="BH38" s="33">
        <f t="shared" si="47"/>
        <v>25500</v>
      </c>
      <c r="BI38" s="33">
        <f t="shared" si="47"/>
        <v>-13700</v>
      </c>
      <c r="BJ38" s="33">
        <f t="shared" si="57"/>
        <v>0</v>
      </c>
      <c r="BK38" s="33">
        <f t="shared" si="57"/>
        <v>0</v>
      </c>
      <c r="BL38" s="33">
        <f t="shared" si="57"/>
        <v>0</v>
      </c>
      <c r="BM38" s="33">
        <f t="shared" si="57"/>
        <v>0</v>
      </c>
      <c r="BN38" s="33">
        <f t="shared" si="57"/>
        <v>0</v>
      </c>
      <c r="BO38" s="33">
        <f t="shared" si="48"/>
        <v>0</v>
      </c>
      <c r="BP38" s="33">
        <f t="shared" si="48"/>
        <v>16085.714285714312</v>
      </c>
      <c r="BQ38" s="33">
        <f t="shared" si="48"/>
        <v>42000</v>
      </c>
      <c r="BR38" s="33">
        <f t="shared" si="48"/>
        <v>0</v>
      </c>
      <c r="BS38" s="33">
        <f t="shared" si="48"/>
        <v>0</v>
      </c>
      <c r="BT38" s="33">
        <f t="shared" si="48"/>
        <v>0</v>
      </c>
      <c r="BU38" s="33" t="e">
        <f t="shared" si="48"/>
        <v>#N/A</v>
      </c>
      <c r="BW38" s="143">
        <f t="shared" si="53"/>
        <v>40621.428571428572</v>
      </c>
      <c r="BX38" s="33">
        <f t="shared" si="49"/>
        <v>0</v>
      </c>
      <c r="BY38" s="33"/>
      <c r="BZ38" s="33" t="e">
        <f t="shared" si="54"/>
        <v>#N/A</v>
      </c>
      <c r="CA38" s="33" t="e">
        <f t="shared" si="54"/>
        <v>#N/A</v>
      </c>
      <c r="CB38" s="33" t="e">
        <f t="shared" si="54"/>
        <v>#N/A</v>
      </c>
      <c r="CC38" s="33" t="e">
        <f t="shared" si="54"/>
        <v>#N/A</v>
      </c>
      <c r="CD38" s="33">
        <f t="shared" si="54"/>
        <v>0</v>
      </c>
      <c r="CE38" s="33">
        <f t="shared" si="54"/>
        <v>0</v>
      </c>
      <c r="CF38" s="33">
        <f t="shared" si="54"/>
        <v>0</v>
      </c>
      <c r="CG38" s="33">
        <f t="shared" si="54"/>
        <v>0</v>
      </c>
      <c r="CH38" s="33">
        <f t="shared" si="54"/>
        <v>0</v>
      </c>
      <c r="CI38" s="33">
        <f t="shared" si="54"/>
        <v>0</v>
      </c>
      <c r="CJ38" s="33">
        <f t="shared" si="54"/>
        <v>0</v>
      </c>
      <c r="CK38" s="33">
        <f t="shared" si="54"/>
        <v>0</v>
      </c>
      <c r="CL38" s="33" t="e">
        <f t="shared" si="55"/>
        <v>#N/A</v>
      </c>
      <c r="CM38" s="33" t="e">
        <f t="shared" si="55"/>
        <v>#N/A</v>
      </c>
      <c r="CN38" s="33">
        <f t="shared" si="55"/>
        <v>0</v>
      </c>
      <c r="CO38" s="33">
        <f t="shared" si="55"/>
        <v>0</v>
      </c>
      <c r="CP38" s="33">
        <f t="shared" si="55"/>
        <v>0</v>
      </c>
      <c r="CQ38" s="33">
        <f t="shared" si="55"/>
        <v>0</v>
      </c>
      <c r="CR38" s="33" t="e">
        <f t="shared" si="55"/>
        <v>#N/A</v>
      </c>
      <c r="CS38" s="33"/>
      <c r="CT38" s="33"/>
      <c r="CU38" s="33"/>
      <c r="CV38" s="33"/>
      <c r="CW38" s="33"/>
      <c r="CX38" s="33"/>
      <c r="CY38" s="33"/>
      <c r="CZ38" s="33"/>
      <c r="DA38" s="33"/>
      <c r="DD38" s="33"/>
      <c r="DE38" s="33"/>
      <c r="DF38" s="33"/>
      <c r="DG38" s="33"/>
      <c r="DH38" s="33"/>
      <c r="DI38" s="33"/>
      <c r="DJ38" s="33"/>
      <c r="DK38" s="33"/>
      <c r="DL38" s="33"/>
      <c r="DM38" s="33"/>
      <c r="DN38" s="33"/>
      <c r="DO38" s="33"/>
      <c r="DP38" s="33"/>
      <c r="DQ38" s="33"/>
      <c r="DR38" s="33"/>
      <c r="DS38" s="33"/>
      <c r="DT38" s="33"/>
      <c r="DU38" s="33"/>
      <c r="DV38" s="33"/>
    </row>
    <row r="39" spans="9:126">
      <c r="I39" s="34"/>
      <c r="J39" s="129"/>
      <c r="L39" s="34"/>
      <c r="M39" s="34"/>
      <c r="S39" s="68"/>
      <c r="T39" s="68"/>
      <c r="U39" s="68"/>
      <c r="V39" s="68"/>
      <c r="W39" s="68"/>
      <c r="X39" s="68"/>
      <c r="Y39" s="68"/>
      <c r="Z39" s="68"/>
      <c r="AA39" s="68"/>
      <c r="AB39" s="68"/>
      <c r="AC39" s="68"/>
      <c r="AD39" s="68"/>
      <c r="AE39" s="68"/>
      <c r="AF39" s="68"/>
      <c r="AG39" s="68"/>
      <c r="AI39" s="34" t="e">
        <f t="shared" si="10"/>
        <v>#VALUE!</v>
      </c>
      <c r="AJ39" t="e">
        <f t="shared" si="9"/>
        <v>#VALUE!</v>
      </c>
      <c r="AK39" s="151">
        <v>44616</v>
      </c>
      <c r="AL39" s="134">
        <f t="shared" si="11"/>
        <v>18050</v>
      </c>
      <c r="AM39" s="33">
        <v>11500</v>
      </c>
      <c r="AN39" s="132">
        <v>241.95</v>
      </c>
      <c r="AO39" s="33">
        <v>0.37</v>
      </c>
      <c r="AP39" s="134">
        <v>18050</v>
      </c>
      <c r="AQ39" s="33">
        <v>18.16</v>
      </c>
      <c r="AR39" t="s">
        <v>502</v>
      </c>
      <c r="AS39" s="133">
        <v>597</v>
      </c>
      <c r="AT39" s="33">
        <v>-0.63</v>
      </c>
      <c r="AU39" s="33">
        <v>2650</v>
      </c>
      <c r="AV39" s="33">
        <v>-5.44</v>
      </c>
      <c r="AW39" s="33">
        <v>20.38</v>
      </c>
      <c r="AX39" s="33">
        <v>3.8000000000000002E-4</v>
      </c>
      <c r="AZ39" s="143">
        <f t="shared" si="52"/>
        <v>18685.714285714286</v>
      </c>
      <c r="BA39" s="33">
        <f t="shared" si="46"/>
        <v>92885.714285714319</v>
      </c>
      <c r="BB39" s="33"/>
      <c r="BC39" s="33">
        <f t="shared" si="47"/>
        <v>0</v>
      </c>
      <c r="BD39" s="33">
        <f t="shared" si="47"/>
        <v>0</v>
      </c>
      <c r="BE39" s="33">
        <f t="shared" si="47"/>
        <v>0</v>
      </c>
      <c r="BF39" s="33">
        <f t="shared" si="47"/>
        <v>0</v>
      </c>
      <c r="BG39" s="33">
        <f t="shared" si="47"/>
        <v>18000</v>
      </c>
      <c r="BH39" s="33">
        <f t="shared" si="47"/>
        <v>25500</v>
      </c>
      <c r="BI39" s="33">
        <f t="shared" si="47"/>
        <v>-13700</v>
      </c>
      <c r="BJ39" s="33">
        <f t="shared" si="57"/>
        <v>0</v>
      </c>
      <c r="BK39" s="33">
        <f t="shared" si="57"/>
        <v>0</v>
      </c>
      <c r="BL39" s="33">
        <f t="shared" si="57"/>
        <v>0</v>
      </c>
      <c r="BM39" s="33">
        <f t="shared" si="57"/>
        <v>0</v>
      </c>
      <c r="BN39" s="33">
        <f t="shared" si="57"/>
        <v>0</v>
      </c>
      <c r="BO39" s="33">
        <f t="shared" si="48"/>
        <v>0</v>
      </c>
      <c r="BP39" s="33">
        <f t="shared" si="48"/>
        <v>21085.714285714312</v>
      </c>
      <c r="BQ39" s="33">
        <f t="shared" si="48"/>
        <v>42000</v>
      </c>
      <c r="BR39" s="33">
        <f t="shared" si="48"/>
        <v>0</v>
      </c>
      <c r="BS39" s="33">
        <f t="shared" si="48"/>
        <v>0</v>
      </c>
      <c r="BT39" s="33">
        <f t="shared" si="48"/>
        <v>0</v>
      </c>
      <c r="BU39" s="33" t="e">
        <f t="shared" si="48"/>
        <v>#N/A</v>
      </c>
      <c r="BW39" s="143">
        <f t="shared" si="53"/>
        <v>40671.428571428572</v>
      </c>
      <c r="BX39" s="33">
        <f t="shared" si="49"/>
        <v>0</v>
      </c>
      <c r="BY39" s="33"/>
      <c r="BZ39" s="33" t="e">
        <f t="shared" si="54"/>
        <v>#N/A</v>
      </c>
      <c r="CA39" s="33" t="e">
        <f t="shared" si="54"/>
        <v>#N/A</v>
      </c>
      <c r="CB39" s="33" t="e">
        <f t="shared" si="54"/>
        <v>#N/A</v>
      </c>
      <c r="CC39" s="33" t="e">
        <f t="shared" si="54"/>
        <v>#N/A</v>
      </c>
      <c r="CD39" s="33">
        <f t="shared" si="54"/>
        <v>0</v>
      </c>
      <c r="CE39" s="33">
        <f t="shared" si="54"/>
        <v>0</v>
      </c>
      <c r="CF39" s="33">
        <f t="shared" si="54"/>
        <v>0</v>
      </c>
      <c r="CG39" s="33">
        <f t="shared" si="54"/>
        <v>0</v>
      </c>
      <c r="CH39" s="33">
        <f t="shared" si="54"/>
        <v>0</v>
      </c>
      <c r="CI39" s="33">
        <f t="shared" si="54"/>
        <v>0</v>
      </c>
      <c r="CJ39" s="33">
        <f t="shared" si="54"/>
        <v>0</v>
      </c>
      <c r="CK39" s="33">
        <f t="shared" si="54"/>
        <v>0</v>
      </c>
      <c r="CL39" s="33" t="e">
        <f t="shared" si="55"/>
        <v>#N/A</v>
      </c>
      <c r="CM39" s="33" t="e">
        <f t="shared" si="55"/>
        <v>#N/A</v>
      </c>
      <c r="CN39" s="33">
        <f t="shared" si="55"/>
        <v>0</v>
      </c>
      <c r="CO39" s="33">
        <f t="shared" si="55"/>
        <v>0</v>
      </c>
      <c r="CP39" s="33">
        <f t="shared" si="55"/>
        <v>0</v>
      </c>
      <c r="CQ39" s="33">
        <f t="shared" si="55"/>
        <v>0</v>
      </c>
      <c r="CR39" s="33" t="e">
        <f t="shared" si="55"/>
        <v>#N/A</v>
      </c>
      <c r="CS39" s="33"/>
      <c r="CT39" s="33"/>
      <c r="CU39" s="33"/>
      <c r="CV39" s="33"/>
      <c r="CW39" s="33"/>
      <c r="CX39" s="33"/>
      <c r="CY39" s="33"/>
      <c r="CZ39" s="33"/>
      <c r="DA39" s="33"/>
      <c r="DD39" s="33"/>
      <c r="DE39" s="33"/>
      <c r="DF39" s="33"/>
      <c r="DG39" s="33"/>
      <c r="DH39" s="33"/>
      <c r="DI39" s="33"/>
      <c r="DJ39" s="33"/>
      <c r="DK39" s="33"/>
      <c r="DL39" s="33"/>
      <c r="DM39" s="33"/>
      <c r="DN39" s="33"/>
      <c r="DO39" s="33"/>
      <c r="DP39" s="33"/>
      <c r="DQ39" s="33"/>
      <c r="DR39" s="33"/>
      <c r="DS39" s="33"/>
      <c r="DT39" s="33"/>
      <c r="DU39" s="33"/>
      <c r="DV39" s="33"/>
    </row>
    <row r="40" spans="9:126">
      <c r="I40" s="34"/>
      <c r="J40" s="129"/>
      <c r="L40" s="34"/>
      <c r="M40" s="34"/>
      <c r="S40" s="68"/>
      <c r="T40" s="68"/>
      <c r="U40" s="68"/>
      <c r="V40" s="68"/>
      <c r="W40" s="68"/>
      <c r="X40" s="68"/>
      <c r="Y40" s="68"/>
      <c r="Z40" s="68"/>
      <c r="AA40" s="68"/>
      <c r="AB40" s="68"/>
      <c r="AC40" s="68"/>
      <c r="AD40" s="68"/>
      <c r="AE40" s="68"/>
      <c r="AF40" s="68"/>
      <c r="AG40" s="68"/>
      <c r="AI40" s="34" t="e">
        <f t="shared" si="10"/>
        <v>#VALUE!</v>
      </c>
      <c r="AJ40" t="e">
        <f t="shared" si="9"/>
        <v>#VALUE!</v>
      </c>
      <c r="AK40" s="151">
        <v>44616</v>
      </c>
      <c r="AL40" s="134">
        <f t="shared" si="11"/>
        <v>18100</v>
      </c>
      <c r="AM40" s="33">
        <v>142200</v>
      </c>
      <c r="AN40" s="132">
        <v>229</v>
      </c>
      <c r="AO40" s="33">
        <v>0.35</v>
      </c>
      <c r="AP40" s="134">
        <v>18100</v>
      </c>
      <c r="AQ40" s="33">
        <v>18.36</v>
      </c>
      <c r="AR40" t="s">
        <v>502</v>
      </c>
      <c r="AS40" s="133">
        <v>622.65</v>
      </c>
      <c r="AT40" s="33">
        <v>-0.65</v>
      </c>
      <c r="AU40" s="33">
        <v>62800</v>
      </c>
      <c r="AV40" s="33">
        <v>-5.42</v>
      </c>
      <c r="AW40" s="33">
        <v>20.059999999999999</v>
      </c>
      <c r="AX40" s="33">
        <v>3.6999999999999999E-4</v>
      </c>
      <c r="AZ40" s="143">
        <f t="shared" si="52"/>
        <v>18785.714285714286</v>
      </c>
      <c r="BA40" s="33">
        <f t="shared" si="46"/>
        <v>97885.714285714319</v>
      </c>
      <c r="BB40" s="33"/>
      <c r="BC40" s="33">
        <f t="shared" si="47"/>
        <v>0</v>
      </c>
      <c r="BD40" s="33">
        <f t="shared" si="47"/>
        <v>0</v>
      </c>
      <c r="BE40" s="33">
        <f t="shared" si="47"/>
        <v>0</v>
      </c>
      <c r="BF40" s="33">
        <f t="shared" si="47"/>
        <v>0</v>
      </c>
      <c r="BG40" s="33">
        <f t="shared" si="47"/>
        <v>18000</v>
      </c>
      <c r="BH40" s="33">
        <f t="shared" si="47"/>
        <v>25500</v>
      </c>
      <c r="BI40" s="33">
        <f t="shared" si="47"/>
        <v>-13700</v>
      </c>
      <c r="BJ40" s="33">
        <f t="shared" si="57"/>
        <v>0</v>
      </c>
      <c r="BK40" s="33">
        <f t="shared" si="57"/>
        <v>0</v>
      </c>
      <c r="BL40" s="33">
        <f t="shared" si="57"/>
        <v>0</v>
      </c>
      <c r="BM40" s="33">
        <f t="shared" si="57"/>
        <v>0</v>
      </c>
      <c r="BN40" s="33">
        <f t="shared" si="57"/>
        <v>0</v>
      </c>
      <c r="BO40" s="33">
        <f t="shared" si="48"/>
        <v>0</v>
      </c>
      <c r="BP40" s="33">
        <f t="shared" si="48"/>
        <v>26085.714285714312</v>
      </c>
      <c r="BQ40" s="33">
        <f t="shared" si="48"/>
        <v>42000</v>
      </c>
      <c r="BR40" s="33">
        <f t="shared" si="48"/>
        <v>0</v>
      </c>
      <c r="BS40" s="33">
        <f t="shared" si="48"/>
        <v>0</v>
      </c>
      <c r="BT40" s="33">
        <f t="shared" si="48"/>
        <v>0</v>
      </c>
      <c r="BU40" s="33" t="e">
        <f t="shared" si="48"/>
        <v>#N/A</v>
      </c>
      <c r="BW40" s="143">
        <f t="shared" si="53"/>
        <v>40721.428571428572</v>
      </c>
      <c r="BX40" s="33">
        <f t="shared" si="49"/>
        <v>0</v>
      </c>
      <c r="BY40" s="33"/>
      <c r="BZ40" s="33" t="e">
        <f t="shared" si="54"/>
        <v>#N/A</v>
      </c>
      <c r="CA40" s="33" t="e">
        <f t="shared" si="54"/>
        <v>#N/A</v>
      </c>
      <c r="CB40" s="33" t="e">
        <f t="shared" si="54"/>
        <v>#N/A</v>
      </c>
      <c r="CC40" s="33" t="e">
        <f t="shared" si="54"/>
        <v>#N/A</v>
      </c>
      <c r="CD40" s="33">
        <f t="shared" si="54"/>
        <v>0</v>
      </c>
      <c r="CE40" s="33">
        <f t="shared" si="54"/>
        <v>0</v>
      </c>
      <c r="CF40" s="33">
        <f t="shared" si="54"/>
        <v>0</v>
      </c>
      <c r="CG40" s="33">
        <f t="shared" si="54"/>
        <v>0</v>
      </c>
      <c r="CH40" s="33">
        <f t="shared" si="54"/>
        <v>0</v>
      </c>
      <c r="CI40" s="33">
        <f t="shared" si="54"/>
        <v>0</v>
      </c>
      <c r="CJ40" s="33">
        <f t="shared" si="54"/>
        <v>0</v>
      </c>
      <c r="CK40" s="33">
        <f t="shared" si="54"/>
        <v>0</v>
      </c>
      <c r="CL40" s="33" t="e">
        <f t="shared" si="55"/>
        <v>#N/A</v>
      </c>
      <c r="CM40" s="33" t="e">
        <f t="shared" si="55"/>
        <v>#N/A</v>
      </c>
      <c r="CN40" s="33">
        <f t="shared" si="55"/>
        <v>0</v>
      </c>
      <c r="CO40" s="33">
        <f t="shared" si="55"/>
        <v>0</v>
      </c>
      <c r="CP40" s="33">
        <f t="shared" si="55"/>
        <v>0</v>
      </c>
      <c r="CQ40" s="33">
        <f t="shared" si="55"/>
        <v>0</v>
      </c>
      <c r="CR40" s="33" t="e">
        <f t="shared" si="55"/>
        <v>#N/A</v>
      </c>
      <c r="CS40" s="33"/>
      <c r="CT40" s="33"/>
      <c r="CU40" s="33"/>
      <c r="CV40" s="33"/>
      <c r="CW40" s="33"/>
      <c r="CX40" s="33"/>
      <c r="CY40" s="33"/>
      <c r="CZ40" s="33"/>
      <c r="DA40" s="33"/>
      <c r="DD40" s="33"/>
      <c r="DE40" s="33"/>
      <c r="DF40" s="33"/>
      <c r="DG40" s="33"/>
      <c r="DH40" s="33"/>
      <c r="DI40" s="33"/>
      <c r="DJ40" s="33"/>
      <c r="DK40" s="33"/>
      <c r="DL40" s="33"/>
      <c r="DM40" s="33"/>
      <c r="DN40" s="33"/>
      <c r="DO40" s="33"/>
      <c r="DP40" s="33"/>
      <c r="DQ40" s="33"/>
      <c r="DR40" s="33"/>
      <c r="DS40" s="33"/>
      <c r="DT40" s="33"/>
      <c r="DU40" s="33"/>
      <c r="DV40" s="33"/>
    </row>
    <row r="41" spans="9:126">
      <c r="I41" s="34"/>
      <c r="J41" s="129"/>
      <c r="L41" s="34"/>
      <c r="M41" s="34"/>
      <c r="S41" s="68"/>
      <c r="T41" s="68"/>
      <c r="U41" s="68"/>
      <c r="V41" s="68"/>
      <c r="W41" s="68"/>
      <c r="X41" s="68"/>
      <c r="Y41" s="68"/>
      <c r="Z41" s="68"/>
      <c r="AA41" s="68"/>
      <c r="AB41" s="68"/>
      <c r="AC41" s="68"/>
      <c r="AD41" s="68"/>
      <c r="AE41" s="68"/>
      <c r="AF41" s="68"/>
      <c r="AG41" s="68"/>
      <c r="AI41" s="34" t="e">
        <f t="shared" si="10"/>
        <v>#VALUE!</v>
      </c>
      <c r="AJ41" t="e">
        <f t="shared" si="9"/>
        <v>#VALUE!</v>
      </c>
      <c r="AK41" s="151">
        <v>44616</v>
      </c>
      <c r="AL41" s="134">
        <f t="shared" si="11"/>
        <v>18150</v>
      </c>
      <c r="AM41" s="33">
        <v>7600</v>
      </c>
      <c r="AN41" s="132">
        <v>206</v>
      </c>
      <c r="AO41" s="33">
        <v>0.33</v>
      </c>
      <c r="AP41" s="134">
        <v>18150</v>
      </c>
      <c r="AQ41" s="33">
        <v>18.010000000000002</v>
      </c>
      <c r="AR41" t="s">
        <v>502</v>
      </c>
      <c r="AS41" s="133">
        <v>627.15</v>
      </c>
      <c r="AT41" s="33">
        <v>-0.67</v>
      </c>
      <c r="AU41" s="33">
        <v>6300</v>
      </c>
      <c r="AV41" s="33">
        <v>-5.19</v>
      </c>
      <c r="AW41" s="33">
        <v>19.59</v>
      </c>
      <c r="AX41" s="33">
        <v>3.6999999999999999E-4</v>
      </c>
      <c r="AZ41" s="143">
        <f t="shared" si="52"/>
        <v>18885.714285714286</v>
      </c>
      <c r="BA41" s="33">
        <f t="shared" si="46"/>
        <v>102885.71428571432</v>
      </c>
      <c r="BB41" s="33"/>
      <c r="BC41" s="33">
        <f t="shared" si="47"/>
        <v>0</v>
      </c>
      <c r="BD41" s="33">
        <f t="shared" si="47"/>
        <v>0</v>
      </c>
      <c r="BE41" s="33">
        <f t="shared" si="47"/>
        <v>0</v>
      </c>
      <c r="BF41" s="33">
        <f t="shared" si="47"/>
        <v>0</v>
      </c>
      <c r="BG41" s="33">
        <f t="shared" si="47"/>
        <v>18000</v>
      </c>
      <c r="BH41" s="33">
        <f t="shared" si="47"/>
        <v>25500</v>
      </c>
      <c r="BI41" s="33">
        <f t="shared" si="47"/>
        <v>-13700</v>
      </c>
      <c r="BJ41" s="33">
        <f t="shared" si="57"/>
        <v>0</v>
      </c>
      <c r="BK41" s="33">
        <f t="shared" si="57"/>
        <v>0</v>
      </c>
      <c r="BL41" s="33">
        <f t="shared" si="57"/>
        <v>0</v>
      </c>
      <c r="BM41" s="33">
        <f t="shared" si="57"/>
        <v>0</v>
      </c>
      <c r="BN41" s="33">
        <f t="shared" si="57"/>
        <v>0</v>
      </c>
      <c r="BO41" s="33">
        <f t="shared" si="48"/>
        <v>0</v>
      </c>
      <c r="BP41" s="33">
        <f t="shared" si="48"/>
        <v>31085.714285714312</v>
      </c>
      <c r="BQ41" s="33">
        <f t="shared" si="48"/>
        <v>42000</v>
      </c>
      <c r="BR41" s="33">
        <f t="shared" si="48"/>
        <v>0</v>
      </c>
      <c r="BS41" s="33">
        <f t="shared" si="48"/>
        <v>0</v>
      </c>
      <c r="BT41" s="33">
        <f t="shared" si="48"/>
        <v>0</v>
      </c>
      <c r="BU41" s="33" t="e">
        <f t="shared" si="48"/>
        <v>#N/A</v>
      </c>
      <c r="BW41" s="143">
        <f t="shared" si="53"/>
        <v>40771.428571428572</v>
      </c>
      <c r="BX41" s="33">
        <f t="shared" si="49"/>
        <v>0</v>
      </c>
      <c r="BY41" s="33"/>
      <c r="BZ41" s="33" t="e">
        <f t="shared" si="54"/>
        <v>#N/A</v>
      </c>
      <c r="CA41" s="33" t="e">
        <f t="shared" si="54"/>
        <v>#N/A</v>
      </c>
      <c r="CB41" s="33" t="e">
        <f t="shared" si="54"/>
        <v>#N/A</v>
      </c>
      <c r="CC41" s="33" t="e">
        <f t="shared" si="54"/>
        <v>#N/A</v>
      </c>
      <c r="CD41" s="33">
        <f t="shared" si="54"/>
        <v>0</v>
      </c>
      <c r="CE41" s="33">
        <f t="shared" si="54"/>
        <v>0</v>
      </c>
      <c r="CF41" s="33">
        <f t="shared" si="54"/>
        <v>0</v>
      </c>
      <c r="CG41" s="33">
        <f t="shared" si="54"/>
        <v>0</v>
      </c>
      <c r="CH41" s="33">
        <f t="shared" si="54"/>
        <v>0</v>
      </c>
      <c r="CI41" s="33">
        <f t="shared" si="54"/>
        <v>0</v>
      </c>
      <c r="CJ41" s="33">
        <f t="shared" si="54"/>
        <v>0</v>
      </c>
      <c r="CK41" s="33">
        <f t="shared" si="54"/>
        <v>0</v>
      </c>
      <c r="CL41" s="33" t="e">
        <f t="shared" si="55"/>
        <v>#N/A</v>
      </c>
      <c r="CM41" s="33" t="e">
        <f t="shared" si="55"/>
        <v>#N/A</v>
      </c>
      <c r="CN41" s="33">
        <f t="shared" si="55"/>
        <v>0</v>
      </c>
      <c r="CO41" s="33">
        <f t="shared" si="55"/>
        <v>0</v>
      </c>
      <c r="CP41" s="33">
        <f t="shared" si="55"/>
        <v>0</v>
      </c>
      <c r="CQ41" s="33">
        <f t="shared" si="55"/>
        <v>0</v>
      </c>
      <c r="CR41" s="33" t="e">
        <f t="shared" si="55"/>
        <v>#N/A</v>
      </c>
      <c r="CS41" s="33"/>
      <c r="CT41" s="33"/>
      <c r="CU41" s="33"/>
      <c r="CV41" s="33"/>
      <c r="CW41" s="33"/>
      <c r="CX41" s="33"/>
      <c r="CY41" s="33"/>
      <c r="CZ41" s="33"/>
      <c r="DA41" s="33"/>
      <c r="DD41" s="33"/>
      <c r="DE41" s="33"/>
      <c r="DF41" s="33"/>
      <c r="DG41" s="33"/>
      <c r="DH41" s="33"/>
      <c r="DI41" s="33"/>
      <c r="DJ41" s="33"/>
      <c r="DK41" s="33"/>
      <c r="DL41" s="33"/>
      <c r="DM41" s="33"/>
      <c r="DN41" s="33"/>
      <c r="DO41" s="33"/>
      <c r="DP41" s="33"/>
      <c r="DQ41" s="33"/>
      <c r="DR41" s="33"/>
      <c r="DS41" s="33"/>
      <c r="DT41" s="33"/>
      <c r="DU41" s="33"/>
      <c r="DV41" s="33"/>
    </row>
    <row r="42" spans="9:126">
      <c r="I42" s="34"/>
      <c r="J42" s="129"/>
      <c r="L42" s="34"/>
      <c r="M42" s="34"/>
      <c r="S42" s="68"/>
      <c r="T42" s="68"/>
      <c r="U42" s="68"/>
      <c r="V42" s="68"/>
      <c r="W42" s="68"/>
      <c r="X42" s="68"/>
      <c r="Y42" s="68"/>
      <c r="Z42" s="68"/>
      <c r="AA42" s="68"/>
      <c r="AB42" s="68"/>
      <c r="AC42" s="68"/>
      <c r="AD42" s="68"/>
      <c r="AE42" s="68"/>
      <c r="AF42" s="68"/>
      <c r="AG42" s="68"/>
      <c r="AI42" s="34" t="e">
        <f t="shared" si="10"/>
        <v>#VALUE!</v>
      </c>
      <c r="AJ42" t="e">
        <f t="shared" si="9"/>
        <v>#VALUE!</v>
      </c>
      <c r="AK42" s="151">
        <v>44616</v>
      </c>
      <c r="AL42" s="134">
        <f t="shared" si="11"/>
        <v>18200</v>
      </c>
      <c r="AM42" s="33">
        <v>279600</v>
      </c>
      <c r="AN42" s="132">
        <v>192</v>
      </c>
      <c r="AO42" s="33">
        <v>0.31</v>
      </c>
      <c r="AP42" s="134">
        <v>18200</v>
      </c>
      <c r="AQ42" s="33">
        <v>18.07</v>
      </c>
      <c r="AR42" t="s">
        <v>502</v>
      </c>
      <c r="AS42" s="133">
        <v>691</v>
      </c>
      <c r="AT42" s="33">
        <v>-0.69</v>
      </c>
      <c r="AU42" s="33">
        <v>160350</v>
      </c>
      <c r="AV42" s="33">
        <v>-5.09</v>
      </c>
      <c r="AW42" s="33">
        <v>19.16</v>
      </c>
      <c r="AX42" s="33">
        <v>3.6000000000000002E-4</v>
      </c>
      <c r="AZ42" s="143">
        <f t="shared" si="52"/>
        <v>18985.714285714286</v>
      </c>
      <c r="BA42" s="33">
        <f t="shared" si="46"/>
        <v>107885.71428571432</v>
      </c>
      <c r="BB42" s="33"/>
      <c r="BC42" s="33">
        <f t="shared" si="47"/>
        <v>0</v>
      </c>
      <c r="BD42" s="33">
        <f t="shared" si="47"/>
        <v>0</v>
      </c>
      <c r="BE42" s="33">
        <f t="shared" si="47"/>
        <v>0</v>
      </c>
      <c r="BF42" s="33">
        <f t="shared" si="47"/>
        <v>0</v>
      </c>
      <c r="BG42" s="33">
        <f t="shared" si="47"/>
        <v>18000</v>
      </c>
      <c r="BH42" s="33">
        <f t="shared" si="47"/>
        <v>25500</v>
      </c>
      <c r="BI42" s="33">
        <f t="shared" si="47"/>
        <v>-13700</v>
      </c>
      <c r="BJ42" s="33">
        <f t="shared" si="57"/>
        <v>0</v>
      </c>
      <c r="BK42" s="33">
        <f t="shared" si="57"/>
        <v>0</v>
      </c>
      <c r="BL42" s="33">
        <f t="shared" si="57"/>
        <v>0</v>
      </c>
      <c r="BM42" s="33">
        <f t="shared" si="57"/>
        <v>0</v>
      </c>
      <c r="BN42" s="33">
        <f t="shared" si="57"/>
        <v>0</v>
      </c>
      <c r="BO42" s="33">
        <f t="shared" si="48"/>
        <v>0</v>
      </c>
      <c r="BP42" s="33">
        <f t="shared" si="48"/>
        <v>36085.714285714312</v>
      </c>
      <c r="BQ42" s="33">
        <f t="shared" si="48"/>
        <v>42000</v>
      </c>
      <c r="BR42" s="33">
        <f t="shared" si="48"/>
        <v>0</v>
      </c>
      <c r="BS42" s="33">
        <f t="shared" si="48"/>
        <v>0</v>
      </c>
      <c r="BT42" s="33">
        <f t="shared" si="48"/>
        <v>0</v>
      </c>
      <c r="BU42" s="33" t="e">
        <f t="shared" si="48"/>
        <v>#N/A</v>
      </c>
      <c r="BW42" s="143">
        <f t="shared" si="53"/>
        <v>40821.428571428572</v>
      </c>
      <c r="BX42" s="33">
        <f t="shared" si="49"/>
        <v>0</v>
      </c>
      <c r="BY42" s="33"/>
      <c r="BZ42" s="33" t="e">
        <f t="shared" ref="BZ42:CK54" si="58">IF(ISBLANK(BZ$2),0,(MAX(BZ$2-$BW42,0)-IF(ISNUMBER(BZ$4),BZ$4,BZ$3))*BZ$5)</f>
        <v>#N/A</v>
      </c>
      <c r="CA42" s="33" t="e">
        <f t="shared" si="58"/>
        <v>#N/A</v>
      </c>
      <c r="CB42" s="33" t="e">
        <f t="shared" si="58"/>
        <v>#N/A</v>
      </c>
      <c r="CC42" s="33" t="e">
        <f t="shared" si="58"/>
        <v>#N/A</v>
      </c>
      <c r="CD42" s="33">
        <f t="shared" si="58"/>
        <v>0</v>
      </c>
      <c r="CE42" s="33">
        <f t="shared" si="58"/>
        <v>0</v>
      </c>
      <c r="CF42" s="33">
        <f t="shared" si="58"/>
        <v>0</v>
      </c>
      <c r="CG42" s="33">
        <f t="shared" si="58"/>
        <v>0</v>
      </c>
      <c r="CH42" s="33">
        <f t="shared" si="58"/>
        <v>0</v>
      </c>
      <c r="CI42" s="33">
        <f t="shared" si="58"/>
        <v>0</v>
      </c>
      <c r="CJ42" s="33">
        <f t="shared" si="58"/>
        <v>0</v>
      </c>
      <c r="CK42" s="33">
        <f t="shared" si="58"/>
        <v>0</v>
      </c>
      <c r="CL42" s="33" t="e">
        <f t="shared" ref="CL42:CR54" si="59">IF(ISBLANK(CL$2),0,(MAX($BW42-CL$2,0)-IF(ISNUMBER(CL$4),CL$4,CL$3))*CL$5)</f>
        <v>#N/A</v>
      </c>
      <c r="CM42" s="33" t="e">
        <f t="shared" si="59"/>
        <v>#N/A</v>
      </c>
      <c r="CN42" s="33">
        <f t="shared" si="59"/>
        <v>0</v>
      </c>
      <c r="CO42" s="33">
        <f t="shared" si="59"/>
        <v>0</v>
      </c>
      <c r="CP42" s="33">
        <f t="shared" si="59"/>
        <v>0</v>
      </c>
      <c r="CQ42" s="33">
        <f t="shared" si="59"/>
        <v>0</v>
      </c>
      <c r="CR42" s="33" t="e">
        <f t="shared" si="59"/>
        <v>#N/A</v>
      </c>
      <c r="CS42" s="33"/>
      <c r="CT42" s="33"/>
      <c r="CU42" s="33"/>
      <c r="CV42" s="33"/>
      <c r="CW42" s="33"/>
      <c r="CX42" s="33"/>
      <c r="CY42" s="33"/>
      <c r="CZ42" s="33"/>
      <c r="DA42" s="33"/>
      <c r="DD42" s="33"/>
      <c r="DE42" s="33"/>
      <c r="DF42" s="33"/>
      <c r="DG42" s="33"/>
      <c r="DH42" s="33"/>
      <c r="DI42" s="33"/>
      <c r="DJ42" s="33"/>
      <c r="DK42" s="33"/>
      <c r="DL42" s="33"/>
      <c r="DM42" s="33"/>
      <c r="DN42" s="33"/>
      <c r="DO42" s="33"/>
      <c r="DP42" s="33"/>
      <c r="DQ42" s="33"/>
      <c r="DR42" s="33"/>
      <c r="DS42" s="33"/>
      <c r="DT42" s="33"/>
      <c r="DU42" s="33"/>
      <c r="DV42" s="33"/>
    </row>
    <row r="43" spans="9:126">
      <c r="I43" s="34"/>
      <c r="J43" s="129"/>
      <c r="L43" s="34"/>
      <c r="M43" s="34"/>
      <c r="S43" s="68"/>
      <c r="T43" s="68"/>
      <c r="U43" s="68"/>
      <c r="V43" s="68"/>
      <c r="W43" s="68"/>
      <c r="X43" s="68"/>
      <c r="Y43" s="68"/>
      <c r="Z43" s="68"/>
      <c r="AA43" s="68"/>
      <c r="AB43" s="68"/>
      <c r="AC43" s="68"/>
      <c r="AD43" s="68"/>
      <c r="AE43" s="68"/>
      <c r="AF43" s="68"/>
      <c r="AG43" s="68"/>
      <c r="AI43" s="34" t="e">
        <f t="shared" si="10"/>
        <v>#VALUE!</v>
      </c>
      <c r="AJ43" t="e">
        <f t="shared" si="9"/>
        <v>#VALUE!</v>
      </c>
      <c r="AK43" s="151">
        <v>44616</v>
      </c>
      <c r="AL43" s="134">
        <f t="shared" si="11"/>
        <v>18250</v>
      </c>
      <c r="AM43" s="33">
        <v>24100</v>
      </c>
      <c r="AN43" s="132">
        <v>177.6</v>
      </c>
      <c r="AO43" s="33">
        <v>0.3</v>
      </c>
      <c r="AP43" s="134">
        <v>18250</v>
      </c>
      <c r="AQ43" s="33">
        <v>18.07</v>
      </c>
      <c r="AR43" t="s">
        <v>502</v>
      </c>
      <c r="AS43" s="133">
        <v>740</v>
      </c>
      <c r="AT43" s="33">
        <v>-0.7</v>
      </c>
      <c r="AU43" s="33">
        <v>7950</v>
      </c>
      <c r="AV43" s="33">
        <v>-4.96</v>
      </c>
      <c r="AW43" s="33">
        <v>18.670000000000002</v>
      </c>
      <c r="AX43" s="33">
        <v>3.5E-4</v>
      </c>
      <c r="AZ43" s="143">
        <f t="shared" si="52"/>
        <v>19085.714285714286</v>
      </c>
      <c r="BA43" s="33">
        <f t="shared" si="46"/>
        <v>112885.71428571432</v>
      </c>
      <c r="BB43" s="33"/>
      <c r="BC43" s="33">
        <f t="shared" si="47"/>
        <v>0</v>
      </c>
      <c r="BD43" s="33">
        <f t="shared" si="47"/>
        <v>0</v>
      </c>
      <c r="BE43" s="33">
        <f t="shared" si="47"/>
        <v>0</v>
      </c>
      <c r="BF43" s="33">
        <f t="shared" si="47"/>
        <v>0</v>
      </c>
      <c r="BG43" s="33">
        <f t="shared" si="47"/>
        <v>18000</v>
      </c>
      <c r="BH43" s="33">
        <f t="shared" si="47"/>
        <v>25500</v>
      </c>
      <c r="BI43" s="33">
        <f t="shared" si="47"/>
        <v>-13700</v>
      </c>
      <c r="BJ43" s="33">
        <f t="shared" si="57"/>
        <v>0</v>
      </c>
      <c r="BK43" s="33">
        <f t="shared" si="57"/>
        <v>0</v>
      </c>
      <c r="BL43" s="33">
        <f t="shared" si="57"/>
        <v>0</v>
      </c>
      <c r="BM43" s="33">
        <f t="shared" si="57"/>
        <v>0</v>
      </c>
      <c r="BN43" s="33">
        <f t="shared" si="57"/>
        <v>0</v>
      </c>
      <c r="BO43" s="33">
        <f t="shared" si="48"/>
        <v>0</v>
      </c>
      <c r="BP43" s="33">
        <f t="shared" si="48"/>
        <v>41085.714285714312</v>
      </c>
      <c r="BQ43" s="33">
        <f t="shared" si="48"/>
        <v>42000</v>
      </c>
      <c r="BR43" s="33">
        <f t="shared" si="48"/>
        <v>0</v>
      </c>
      <c r="BS43" s="33">
        <f t="shared" si="48"/>
        <v>0</v>
      </c>
      <c r="BT43" s="33">
        <f t="shared" si="48"/>
        <v>0</v>
      </c>
      <c r="BU43" s="33" t="e">
        <f t="shared" si="48"/>
        <v>#N/A</v>
      </c>
      <c r="BW43" s="143">
        <f t="shared" si="53"/>
        <v>40871.428571428572</v>
      </c>
      <c r="BX43" s="33">
        <f t="shared" si="49"/>
        <v>0</v>
      </c>
      <c r="BY43" s="33"/>
      <c r="BZ43" s="33" t="e">
        <f t="shared" si="58"/>
        <v>#N/A</v>
      </c>
      <c r="CA43" s="33" t="e">
        <f t="shared" si="58"/>
        <v>#N/A</v>
      </c>
      <c r="CB43" s="33" t="e">
        <f t="shared" si="58"/>
        <v>#N/A</v>
      </c>
      <c r="CC43" s="33" t="e">
        <f t="shared" si="58"/>
        <v>#N/A</v>
      </c>
      <c r="CD43" s="33">
        <f t="shared" si="58"/>
        <v>0</v>
      </c>
      <c r="CE43" s="33">
        <f t="shared" si="58"/>
        <v>0</v>
      </c>
      <c r="CF43" s="33">
        <f t="shared" si="58"/>
        <v>0</v>
      </c>
      <c r="CG43" s="33">
        <f t="shared" si="58"/>
        <v>0</v>
      </c>
      <c r="CH43" s="33">
        <f t="shared" si="58"/>
        <v>0</v>
      </c>
      <c r="CI43" s="33">
        <f t="shared" si="58"/>
        <v>0</v>
      </c>
      <c r="CJ43" s="33">
        <f t="shared" si="58"/>
        <v>0</v>
      </c>
      <c r="CK43" s="33">
        <f t="shared" si="58"/>
        <v>0</v>
      </c>
      <c r="CL43" s="33" t="e">
        <f t="shared" si="59"/>
        <v>#N/A</v>
      </c>
      <c r="CM43" s="33" t="e">
        <f t="shared" si="59"/>
        <v>#N/A</v>
      </c>
      <c r="CN43" s="33">
        <f t="shared" si="59"/>
        <v>0</v>
      </c>
      <c r="CO43" s="33">
        <f t="shared" si="59"/>
        <v>0</v>
      </c>
      <c r="CP43" s="33">
        <f t="shared" si="59"/>
        <v>0</v>
      </c>
      <c r="CQ43" s="33">
        <f t="shared" si="59"/>
        <v>0</v>
      </c>
      <c r="CR43" s="33" t="e">
        <f t="shared" si="59"/>
        <v>#N/A</v>
      </c>
      <c r="CS43" s="33"/>
      <c r="CT43" s="33"/>
      <c r="CU43" s="33"/>
      <c r="CV43" s="33"/>
      <c r="CW43" s="33"/>
      <c r="CX43" s="33"/>
      <c r="CY43" s="33"/>
      <c r="CZ43" s="33"/>
      <c r="DA43" s="33"/>
      <c r="DD43" s="33"/>
      <c r="DE43" s="33"/>
      <c r="DF43" s="33"/>
      <c r="DG43" s="33"/>
      <c r="DH43" s="33"/>
      <c r="DI43" s="33"/>
      <c r="DJ43" s="33"/>
      <c r="DK43" s="33"/>
      <c r="DL43" s="33"/>
      <c r="DM43" s="33"/>
      <c r="DN43" s="33"/>
      <c r="DO43" s="33"/>
      <c r="DP43" s="33"/>
      <c r="DQ43" s="33"/>
      <c r="DR43" s="33"/>
      <c r="DS43" s="33"/>
      <c r="DT43" s="33"/>
      <c r="DU43" s="33"/>
      <c r="DV43" s="33"/>
    </row>
    <row r="44" spans="9:126">
      <c r="I44" s="34"/>
      <c r="J44" s="129"/>
      <c r="L44" s="34"/>
      <c r="M44" s="34"/>
      <c r="S44" s="68"/>
      <c r="T44" s="68"/>
      <c r="U44" s="68"/>
      <c r="V44" s="68"/>
      <c r="W44" s="68"/>
      <c r="X44" s="68"/>
      <c r="Y44" s="68"/>
      <c r="Z44" s="68"/>
      <c r="AA44" s="68"/>
      <c r="AB44" s="68"/>
      <c r="AC44" s="68"/>
      <c r="AD44" s="68"/>
      <c r="AE44" s="68"/>
      <c r="AF44" s="68"/>
      <c r="AG44" s="68"/>
      <c r="AI44" s="34" t="e">
        <f t="shared" si="10"/>
        <v>#VALUE!</v>
      </c>
      <c r="AJ44" t="e">
        <f t="shared" si="9"/>
        <v>#VALUE!</v>
      </c>
      <c r="AK44" s="151">
        <v>44616</v>
      </c>
      <c r="AL44" s="134">
        <f t="shared" si="11"/>
        <v>18300</v>
      </c>
      <c r="AM44" s="33">
        <v>259150</v>
      </c>
      <c r="AN44" s="132">
        <v>165</v>
      </c>
      <c r="AO44" s="33">
        <v>0.28000000000000003</v>
      </c>
      <c r="AP44" s="134">
        <v>18300</v>
      </c>
      <c r="AQ44" s="33">
        <v>18.11</v>
      </c>
      <c r="AR44" t="s">
        <v>502</v>
      </c>
      <c r="AS44" s="133">
        <v>759.45</v>
      </c>
      <c r="AT44" s="33">
        <v>-0.72</v>
      </c>
      <c r="AU44" s="33">
        <v>128950</v>
      </c>
      <c r="AV44" s="33">
        <v>-4.84</v>
      </c>
      <c r="AW44" s="33">
        <v>18.18</v>
      </c>
      <c r="AX44" s="33">
        <v>3.4000000000000002E-4</v>
      </c>
      <c r="AZ44" s="143">
        <f t="shared" si="52"/>
        <v>19185.714285714286</v>
      </c>
      <c r="BA44" s="33">
        <f t="shared" si="46"/>
        <v>117885.71428571432</v>
      </c>
      <c r="BB44" s="33"/>
      <c r="BC44" s="33">
        <f t="shared" si="47"/>
        <v>0</v>
      </c>
      <c r="BD44" s="33">
        <f t="shared" si="47"/>
        <v>0</v>
      </c>
      <c r="BE44" s="33">
        <f t="shared" si="47"/>
        <v>0</v>
      </c>
      <c r="BF44" s="33">
        <f t="shared" si="47"/>
        <v>0</v>
      </c>
      <c r="BG44" s="33">
        <f t="shared" si="47"/>
        <v>18000</v>
      </c>
      <c r="BH44" s="33">
        <f t="shared" si="47"/>
        <v>25500</v>
      </c>
      <c r="BI44" s="33">
        <f t="shared" si="47"/>
        <v>-13700</v>
      </c>
      <c r="BJ44" s="33">
        <f t="shared" si="57"/>
        <v>0</v>
      </c>
      <c r="BK44" s="33">
        <f t="shared" si="57"/>
        <v>0</v>
      </c>
      <c r="BL44" s="33">
        <f t="shared" si="57"/>
        <v>0</v>
      </c>
      <c r="BM44" s="33">
        <f t="shared" si="57"/>
        <v>0</v>
      </c>
      <c r="BN44" s="33">
        <f t="shared" si="57"/>
        <v>0</v>
      </c>
      <c r="BO44" s="33">
        <f t="shared" si="48"/>
        <v>0</v>
      </c>
      <c r="BP44" s="33">
        <f t="shared" si="48"/>
        <v>46085.714285714312</v>
      </c>
      <c r="BQ44" s="33">
        <f t="shared" si="48"/>
        <v>42000</v>
      </c>
      <c r="BR44" s="33">
        <f t="shared" si="48"/>
        <v>0</v>
      </c>
      <c r="BS44" s="33">
        <f t="shared" si="48"/>
        <v>0</v>
      </c>
      <c r="BT44" s="33">
        <f t="shared" si="48"/>
        <v>0</v>
      </c>
      <c r="BU44" s="33" t="e">
        <f t="shared" si="48"/>
        <v>#N/A</v>
      </c>
      <c r="BW44" s="143">
        <f t="shared" si="53"/>
        <v>40921.428571428572</v>
      </c>
      <c r="BX44" s="33">
        <f t="shared" si="49"/>
        <v>0</v>
      </c>
      <c r="BY44" s="33"/>
      <c r="BZ44" s="33" t="e">
        <f t="shared" si="58"/>
        <v>#N/A</v>
      </c>
      <c r="CA44" s="33" t="e">
        <f t="shared" si="58"/>
        <v>#N/A</v>
      </c>
      <c r="CB44" s="33" t="e">
        <f t="shared" si="58"/>
        <v>#N/A</v>
      </c>
      <c r="CC44" s="33" t="e">
        <f t="shared" si="58"/>
        <v>#N/A</v>
      </c>
      <c r="CD44" s="33">
        <f t="shared" si="58"/>
        <v>0</v>
      </c>
      <c r="CE44" s="33">
        <f t="shared" si="58"/>
        <v>0</v>
      </c>
      <c r="CF44" s="33">
        <f t="shared" si="58"/>
        <v>0</v>
      </c>
      <c r="CG44" s="33">
        <f t="shared" si="58"/>
        <v>0</v>
      </c>
      <c r="CH44" s="33">
        <f t="shared" si="58"/>
        <v>0</v>
      </c>
      <c r="CI44" s="33">
        <f t="shared" si="58"/>
        <v>0</v>
      </c>
      <c r="CJ44" s="33">
        <f t="shared" si="58"/>
        <v>0</v>
      </c>
      <c r="CK44" s="33">
        <f t="shared" si="58"/>
        <v>0</v>
      </c>
      <c r="CL44" s="33" t="e">
        <f t="shared" si="59"/>
        <v>#N/A</v>
      </c>
      <c r="CM44" s="33" t="e">
        <f t="shared" si="59"/>
        <v>#N/A</v>
      </c>
      <c r="CN44" s="33">
        <f t="shared" si="59"/>
        <v>0</v>
      </c>
      <c r="CO44" s="33">
        <f t="shared" si="59"/>
        <v>0</v>
      </c>
      <c r="CP44" s="33">
        <f t="shared" si="59"/>
        <v>0</v>
      </c>
      <c r="CQ44" s="33">
        <f t="shared" si="59"/>
        <v>0</v>
      </c>
      <c r="CR44" s="33" t="e">
        <f t="shared" si="59"/>
        <v>#N/A</v>
      </c>
      <c r="CS44" s="33"/>
      <c r="CT44" s="33"/>
      <c r="CU44" s="33"/>
      <c r="CV44" s="33"/>
      <c r="CW44" s="33"/>
      <c r="CX44" s="33"/>
      <c r="CY44" s="33"/>
      <c r="CZ44" s="33"/>
      <c r="DA44" s="33"/>
      <c r="DD44" s="33"/>
      <c r="DE44" s="33"/>
      <c r="DF44" s="33"/>
      <c r="DG44" s="33"/>
      <c r="DH44" s="33"/>
      <c r="DI44" s="33"/>
      <c r="DJ44" s="33"/>
      <c r="DK44" s="33"/>
      <c r="DL44" s="33"/>
      <c r="DM44" s="33"/>
      <c r="DN44" s="33"/>
      <c r="DO44" s="33"/>
      <c r="DP44" s="33"/>
      <c r="DQ44" s="33"/>
      <c r="DR44" s="33"/>
      <c r="DS44" s="33"/>
      <c r="DT44" s="33"/>
      <c r="DU44" s="33"/>
      <c r="DV44" s="33"/>
    </row>
    <row r="45" spans="9:126">
      <c r="I45" s="34"/>
      <c r="J45" s="129"/>
      <c r="L45" s="34"/>
      <c r="M45" s="34"/>
      <c r="S45" s="68"/>
      <c r="T45" s="68"/>
      <c r="U45" s="68"/>
      <c r="V45" s="68"/>
      <c r="W45" s="68"/>
      <c r="X45" s="68"/>
      <c r="Y45" s="68"/>
      <c r="Z45" s="68"/>
      <c r="AA45" s="68"/>
      <c r="AB45" s="68"/>
      <c r="AC45" s="68"/>
      <c r="AD45" s="68"/>
      <c r="AE45" s="68"/>
      <c r="AF45" s="68"/>
      <c r="AG45" s="68"/>
      <c r="AI45" s="34" t="e">
        <f t="shared" si="10"/>
        <v>#VALUE!</v>
      </c>
      <c r="AJ45" t="e">
        <f t="shared" si="9"/>
        <v>#VALUE!</v>
      </c>
      <c r="AK45" s="151">
        <v>44616</v>
      </c>
      <c r="AL45" s="134">
        <f t="shared" si="11"/>
        <v>18350</v>
      </c>
      <c r="AM45" s="33">
        <v>8000</v>
      </c>
      <c r="AN45" s="132">
        <v>149.30000000000001</v>
      </c>
      <c r="AO45" s="33">
        <v>0.26</v>
      </c>
      <c r="AP45" s="134">
        <v>18350</v>
      </c>
      <c r="AQ45" s="33">
        <v>17.940000000000001</v>
      </c>
      <c r="AR45" t="s">
        <v>502</v>
      </c>
      <c r="AS45" s="133">
        <v>781</v>
      </c>
      <c r="AT45" s="33">
        <v>-0.74</v>
      </c>
      <c r="AU45" s="33">
        <v>6900</v>
      </c>
      <c r="AV45" s="33">
        <v>-4.6399999999999997</v>
      </c>
      <c r="AW45" s="33">
        <v>17.57</v>
      </c>
      <c r="AX45" s="33">
        <v>3.4000000000000002E-4</v>
      </c>
      <c r="AZ45" s="143">
        <f t="shared" si="52"/>
        <v>19285.714285714286</v>
      </c>
      <c r="BA45" s="33">
        <f t="shared" si="46"/>
        <v>-5685.714285715032</v>
      </c>
      <c r="BB45" s="33"/>
      <c r="BC45" s="33">
        <f t="shared" si="47"/>
        <v>0</v>
      </c>
      <c r="BD45" s="33">
        <f t="shared" si="47"/>
        <v>0</v>
      </c>
      <c r="BE45" s="33">
        <f t="shared" si="47"/>
        <v>0</v>
      </c>
      <c r="BF45" s="33">
        <f t="shared" si="47"/>
        <v>0</v>
      </c>
      <c r="BG45" s="33">
        <f t="shared" si="47"/>
        <v>18000</v>
      </c>
      <c r="BH45" s="33">
        <f t="shared" si="47"/>
        <v>25500</v>
      </c>
      <c r="BI45" s="33">
        <f t="shared" si="47"/>
        <v>-13700</v>
      </c>
      <c r="BJ45" s="33">
        <f t="shared" si="57"/>
        <v>0</v>
      </c>
      <c r="BK45" s="33">
        <f t="shared" si="57"/>
        <v>0</v>
      </c>
      <c r="BL45" s="33">
        <f t="shared" si="57"/>
        <v>0</v>
      </c>
      <c r="BM45" s="33">
        <f t="shared" si="57"/>
        <v>0</v>
      </c>
      <c r="BN45" s="33">
        <f t="shared" si="57"/>
        <v>0</v>
      </c>
      <c r="BO45" s="33">
        <f t="shared" si="48"/>
        <v>0</v>
      </c>
      <c r="BP45" s="33">
        <f t="shared" si="48"/>
        <v>51085.714285714312</v>
      </c>
      <c r="BQ45" s="33">
        <f t="shared" si="48"/>
        <v>-86571.428571429351</v>
      </c>
      <c r="BR45" s="33">
        <f t="shared" si="48"/>
        <v>0</v>
      </c>
      <c r="BS45" s="33">
        <f t="shared" si="48"/>
        <v>0</v>
      </c>
      <c r="BT45" s="33">
        <f t="shared" si="48"/>
        <v>0</v>
      </c>
      <c r="BU45" s="33" t="e">
        <f t="shared" si="48"/>
        <v>#N/A</v>
      </c>
      <c r="BW45" s="143">
        <f t="shared" si="53"/>
        <v>40971.428571428572</v>
      </c>
      <c r="BX45" s="33">
        <f t="shared" si="49"/>
        <v>0</v>
      </c>
      <c r="BY45" s="33"/>
      <c r="BZ45" s="33" t="e">
        <f t="shared" si="58"/>
        <v>#N/A</v>
      </c>
      <c r="CA45" s="33" t="e">
        <f t="shared" si="58"/>
        <v>#N/A</v>
      </c>
      <c r="CB45" s="33" t="e">
        <f t="shared" si="58"/>
        <v>#N/A</v>
      </c>
      <c r="CC45" s="33" t="e">
        <f t="shared" si="58"/>
        <v>#N/A</v>
      </c>
      <c r="CD45" s="33">
        <f t="shared" si="58"/>
        <v>0</v>
      </c>
      <c r="CE45" s="33">
        <f t="shared" si="58"/>
        <v>0</v>
      </c>
      <c r="CF45" s="33">
        <f t="shared" si="58"/>
        <v>0</v>
      </c>
      <c r="CG45" s="33">
        <f t="shared" si="58"/>
        <v>0</v>
      </c>
      <c r="CH45" s="33">
        <f t="shared" si="58"/>
        <v>0</v>
      </c>
      <c r="CI45" s="33">
        <f t="shared" si="58"/>
        <v>0</v>
      </c>
      <c r="CJ45" s="33">
        <f t="shared" si="58"/>
        <v>0</v>
      </c>
      <c r="CK45" s="33">
        <f t="shared" si="58"/>
        <v>0</v>
      </c>
      <c r="CL45" s="33" t="e">
        <f t="shared" si="59"/>
        <v>#N/A</v>
      </c>
      <c r="CM45" s="33" t="e">
        <f t="shared" si="59"/>
        <v>#N/A</v>
      </c>
      <c r="CN45" s="33">
        <f t="shared" si="59"/>
        <v>0</v>
      </c>
      <c r="CO45" s="33">
        <f t="shared" si="59"/>
        <v>0</v>
      </c>
      <c r="CP45" s="33">
        <f t="shared" si="59"/>
        <v>0</v>
      </c>
      <c r="CQ45" s="33">
        <f t="shared" si="59"/>
        <v>0</v>
      </c>
      <c r="CR45" s="33" t="e">
        <f t="shared" si="59"/>
        <v>#N/A</v>
      </c>
      <c r="CS45" s="33"/>
      <c r="CT45" s="33"/>
      <c r="CU45" s="33"/>
      <c r="CV45" s="33"/>
      <c r="CW45" s="33"/>
      <c r="CX45" s="33"/>
      <c r="CY45" s="33"/>
      <c r="CZ45" s="33"/>
      <c r="DA45" s="33"/>
      <c r="DD45" s="33"/>
      <c r="DE45" s="33"/>
      <c r="DF45" s="33"/>
      <c r="DG45" s="33"/>
      <c r="DH45" s="33"/>
      <c r="DI45" s="33"/>
      <c r="DJ45" s="33"/>
      <c r="DK45" s="33"/>
      <c r="DL45" s="33"/>
      <c r="DM45" s="33"/>
      <c r="DN45" s="33"/>
      <c r="DO45" s="33"/>
      <c r="DP45" s="33"/>
      <c r="DQ45" s="33"/>
      <c r="DR45" s="33"/>
      <c r="DS45" s="33"/>
      <c r="DT45" s="33"/>
      <c r="DU45" s="33"/>
      <c r="DV45" s="33"/>
    </row>
    <row r="46" spans="9:126">
      <c r="I46" s="34"/>
      <c r="J46" s="129"/>
      <c r="L46" s="34"/>
      <c r="M46" s="34"/>
      <c r="S46" s="68"/>
      <c r="T46" s="68"/>
      <c r="U46" s="68"/>
      <c r="V46" s="68"/>
      <c r="W46" s="68"/>
      <c r="X46" s="68"/>
      <c r="Y46" s="68"/>
      <c r="Z46" s="68"/>
      <c r="AA46" s="68"/>
      <c r="AB46" s="68"/>
      <c r="AC46" s="68"/>
      <c r="AD46" s="68"/>
      <c r="AE46" s="68"/>
      <c r="AF46" s="68"/>
      <c r="AG46" s="68"/>
      <c r="AI46" s="34" t="e">
        <f t="shared" si="10"/>
        <v>#VALUE!</v>
      </c>
      <c r="AJ46" t="e">
        <f t="shared" si="9"/>
        <v>#VALUE!</v>
      </c>
      <c r="AK46" s="151">
        <v>44616</v>
      </c>
      <c r="AL46" s="134">
        <f t="shared" si="11"/>
        <v>18400</v>
      </c>
      <c r="AM46" s="33">
        <v>124450</v>
      </c>
      <c r="AN46" s="132">
        <v>139.65</v>
      </c>
      <c r="AO46" s="33">
        <v>0.25</v>
      </c>
      <c r="AP46" s="134">
        <v>18400</v>
      </c>
      <c r="AQ46" s="33">
        <v>18.07</v>
      </c>
      <c r="AR46" t="s">
        <v>502</v>
      </c>
      <c r="AS46" s="133">
        <v>836</v>
      </c>
      <c r="AT46" s="33">
        <v>-0.75</v>
      </c>
      <c r="AU46" s="33">
        <v>40750</v>
      </c>
      <c r="AV46" s="33">
        <v>-4.53</v>
      </c>
      <c r="AW46" s="33">
        <v>17.059999999999999</v>
      </c>
      <c r="AX46" s="33">
        <v>3.2000000000000003E-4</v>
      </c>
      <c r="AZ46" s="143">
        <f t="shared" si="52"/>
        <v>19385.714285714286</v>
      </c>
      <c r="BA46" s="33">
        <f t="shared" si="46"/>
        <v>-150685.71428571502</v>
      </c>
      <c r="BB46" s="33"/>
      <c r="BC46" s="33">
        <f t="shared" si="47"/>
        <v>0</v>
      </c>
      <c r="BD46" s="33">
        <f t="shared" si="47"/>
        <v>0</v>
      </c>
      <c r="BE46" s="33">
        <f t="shared" si="47"/>
        <v>0</v>
      </c>
      <c r="BF46" s="33">
        <f t="shared" si="47"/>
        <v>0</v>
      </c>
      <c r="BG46" s="33">
        <f t="shared" si="47"/>
        <v>18000</v>
      </c>
      <c r="BH46" s="33">
        <f t="shared" si="47"/>
        <v>25500</v>
      </c>
      <c r="BI46" s="33">
        <f t="shared" si="47"/>
        <v>-13700</v>
      </c>
      <c r="BJ46" s="33">
        <f t="shared" si="57"/>
        <v>0</v>
      </c>
      <c r="BK46" s="33">
        <f t="shared" si="57"/>
        <v>0</v>
      </c>
      <c r="BL46" s="33">
        <f t="shared" si="57"/>
        <v>0</v>
      </c>
      <c r="BM46" s="33">
        <f t="shared" si="57"/>
        <v>0</v>
      </c>
      <c r="BN46" s="33">
        <f t="shared" si="57"/>
        <v>0</v>
      </c>
      <c r="BO46" s="33">
        <f t="shared" si="48"/>
        <v>0</v>
      </c>
      <c r="BP46" s="33">
        <f t="shared" si="48"/>
        <v>56085.714285714312</v>
      </c>
      <c r="BQ46" s="33">
        <f t="shared" si="48"/>
        <v>-236571.42857142934</v>
      </c>
      <c r="BR46" s="33">
        <f t="shared" si="48"/>
        <v>0</v>
      </c>
      <c r="BS46" s="33">
        <f t="shared" si="48"/>
        <v>0</v>
      </c>
      <c r="BT46" s="33">
        <f t="shared" si="48"/>
        <v>0</v>
      </c>
      <c r="BU46" s="33" t="e">
        <f t="shared" si="48"/>
        <v>#N/A</v>
      </c>
      <c r="BW46" s="143">
        <f t="shared" si="53"/>
        <v>41021.428571428572</v>
      </c>
      <c r="BX46" s="33">
        <f t="shared" si="49"/>
        <v>0</v>
      </c>
      <c r="BY46" s="33"/>
      <c r="BZ46" s="33" t="e">
        <f t="shared" si="58"/>
        <v>#N/A</v>
      </c>
      <c r="CA46" s="33" t="e">
        <f t="shared" si="58"/>
        <v>#N/A</v>
      </c>
      <c r="CB46" s="33" t="e">
        <f t="shared" si="58"/>
        <v>#N/A</v>
      </c>
      <c r="CC46" s="33" t="e">
        <f t="shared" si="58"/>
        <v>#N/A</v>
      </c>
      <c r="CD46" s="33">
        <f t="shared" si="58"/>
        <v>0</v>
      </c>
      <c r="CE46" s="33">
        <f t="shared" si="58"/>
        <v>0</v>
      </c>
      <c r="CF46" s="33">
        <f t="shared" si="58"/>
        <v>0</v>
      </c>
      <c r="CG46" s="33">
        <f t="shared" si="58"/>
        <v>0</v>
      </c>
      <c r="CH46" s="33">
        <f t="shared" si="58"/>
        <v>0</v>
      </c>
      <c r="CI46" s="33">
        <f t="shared" si="58"/>
        <v>0</v>
      </c>
      <c r="CJ46" s="33">
        <f t="shared" si="58"/>
        <v>0</v>
      </c>
      <c r="CK46" s="33">
        <f t="shared" si="58"/>
        <v>0</v>
      </c>
      <c r="CL46" s="33" t="e">
        <f t="shared" si="59"/>
        <v>#N/A</v>
      </c>
      <c r="CM46" s="33" t="e">
        <f t="shared" si="59"/>
        <v>#N/A</v>
      </c>
      <c r="CN46" s="33">
        <f t="shared" si="59"/>
        <v>0</v>
      </c>
      <c r="CO46" s="33">
        <f t="shared" si="59"/>
        <v>0</v>
      </c>
      <c r="CP46" s="33">
        <f t="shared" si="59"/>
        <v>0</v>
      </c>
      <c r="CQ46" s="33">
        <f t="shared" si="59"/>
        <v>0</v>
      </c>
      <c r="CR46" s="33" t="e">
        <f t="shared" si="59"/>
        <v>#N/A</v>
      </c>
      <c r="CS46" s="33"/>
      <c r="CT46" s="33"/>
      <c r="CU46" s="33"/>
      <c r="CV46" s="33"/>
      <c r="CW46" s="33"/>
      <c r="CX46" s="33"/>
      <c r="CY46" s="33"/>
      <c r="CZ46" s="33"/>
      <c r="DA46" s="33"/>
      <c r="DD46" s="33"/>
      <c r="DE46" s="33"/>
      <c r="DF46" s="33"/>
      <c r="DG46" s="33"/>
      <c r="DH46" s="33"/>
      <c r="DI46" s="33"/>
      <c r="DJ46" s="33"/>
      <c r="DK46" s="33"/>
      <c r="DL46" s="33"/>
      <c r="DM46" s="33"/>
      <c r="DN46" s="33"/>
      <c r="DO46" s="33"/>
      <c r="DP46" s="33"/>
      <c r="DQ46" s="33"/>
      <c r="DR46" s="33"/>
      <c r="DS46" s="33"/>
      <c r="DT46" s="33"/>
      <c r="DU46" s="33"/>
      <c r="DV46" s="33"/>
    </row>
    <row r="47" spans="9:126">
      <c r="I47" s="34"/>
      <c r="J47" s="129"/>
      <c r="L47" s="34"/>
      <c r="M47" s="34"/>
      <c r="S47" s="68"/>
      <c r="T47" s="68"/>
      <c r="U47" s="68"/>
      <c r="V47" s="68"/>
      <c r="W47" s="68"/>
      <c r="X47" s="68"/>
      <c r="Y47" s="68"/>
      <c r="Z47" s="68"/>
      <c r="AA47" s="68"/>
      <c r="AB47" s="68"/>
      <c r="AC47" s="68"/>
      <c r="AD47" s="68"/>
      <c r="AE47" s="68"/>
      <c r="AF47" s="68"/>
      <c r="AG47" s="68"/>
      <c r="AI47" s="34" t="e">
        <f t="shared" si="10"/>
        <v>#VALUE!</v>
      </c>
      <c r="AJ47" t="e">
        <f t="shared" si="9"/>
        <v>#VALUE!</v>
      </c>
      <c r="AK47" s="151">
        <v>44616</v>
      </c>
      <c r="AL47" s="134">
        <f t="shared" si="11"/>
        <v>18450</v>
      </c>
      <c r="AM47" s="33">
        <v>7550</v>
      </c>
      <c r="AN47" s="132">
        <v>125.85</v>
      </c>
      <c r="AO47" s="33">
        <v>0.23</v>
      </c>
      <c r="AP47" s="134">
        <v>18450</v>
      </c>
      <c r="AQ47" s="33">
        <v>17.91</v>
      </c>
      <c r="AR47" t="s">
        <v>502</v>
      </c>
      <c r="AS47" s="133">
        <v>851</v>
      </c>
      <c r="AT47" s="33">
        <v>-0.77</v>
      </c>
      <c r="AU47" s="33">
        <v>1150</v>
      </c>
      <c r="AV47" s="33">
        <v>-4.32</v>
      </c>
      <c r="AW47" s="33">
        <v>16.39</v>
      </c>
      <c r="AX47" s="33">
        <v>3.1E-4</v>
      </c>
      <c r="AZ47" s="143">
        <f t="shared" si="52"/>
        <v>19485.714285714286</v>
      </c>
      <c r="BA47" s="33">
        <f t="shared" si="46"/>
        <v>-295685.71428571502</v>
      </c>
      <c r="BB47" s="33"/>
      <c r="BC47" s="33">
        <f t="shared" si="47"/>
        <v>0</v>
      </c>
      <c r="BD47" s="33">
        <f t="shared" si="47"/>
        <v>0</v>
      </c>
      <c r="BE47" s="33">
        <f t="shared" si="47"/>
        <v>0</v>
      </c>
      <c r="BF47" s="33">
        <f t="shared" si="47"/>
        <v>0</v>
      </c>
      <c r="BG47" s="33">
        <f t="shared" si="47"/>
        <v>18000</v>
      </c>
      <c r="BH47" s="33">
        <f t="shared" si="47"/>
        <v>25500</v>
      </c>
      <c r="BI47" s="33">
        <f t="shared" si="47"/>
        <v>-13700</v>
      </c>
      <c r="BJ47" s="33">
        <f t="shared" si="57"/>
        <v>0</v>
      </c>
      <c r="BK47" s="33">
        <f t="shared" si="57"/>
        <v>0</v>
      </c>
      <c r="BL47" s="33">
        <f t="shared" si="57"/>
        <v>0</v>
      </c>
      <c r="BM47" s="33">
        <f t="shared" si="57"/>
        <v>0</v>
      </c>
      <c r="BN47" s="33">
        <f t="shared" si="57"/>
        <v>0</v>
      </c>
      <c r="BO47" s="33">
        <f t="shared" si="48"/>
        <v>0</v>
      </c>
      <c r="BP47" s="33">
        <f t="shared" si="48"/>
        <v>61085.714285714312</v>
      </c>
      <c r="BQ47" s="33">
        <f t="shared" si="48"/>
        <v>-386571.42857142934</v>
      </c>
      <c r="BR47" s="33">
        <f t="shared" si="48"/>
        <v>0</v>
      </c>
      <c r="BS47" s="33">
        <f t="shared" si="48"/>
        <v>0</v>
      </c>
      <c r="BT47" s="33">
        <f t="shared" si="48"/>
        <v>0</v>
      </c>
      <c r="BU47" s="33" t="e">
        <f t="shared" si="48"/>
        <v>#N/A</v>
      </c>
      <c r="BW47" s="143">
        <f t="shared" si="53"/>
        <v>41071.428571428572</v>
      </c>
      <c r="BX47" s="33">
        <f t="shared" si="49"/>
        <v>0</v>
      </c>
      <c r="BY47" s="33"/>
      <c r="BZ47" s="33" t="e">
        <f t="shared" si="58"/>
        <v>#N/A</v>
      </c>
      <c r="CA47" s="33" t="e">
        <f t="shared" si="58"/>
        <v>#N/A</v>
      </c>
      <c r="CB47" s="33" t="e">
        <f t="shared" si="58"/>
        <v>#N/A</v>
      </c>
      <c r="CC47" s="33" t="e">
        <f t="shared" si="58"/>
        <v>#N/A</v>
      </c>
      <c r="CD47" s="33">
        <f t="shared" si="58"/>
        <v>0</v>
      </c>
      <c r="CE47" s="33">
        <f t="shared" si="58"/>
        <v>0</v>
      </c>
      <c r="CF47" s="33">
        <f t="shared" si="58"/>
        <v>0</v>
      </c>
      <c r="CG47" s="33">
        <f t="shared" si="58"/>
        <v>0</v>
      </c>
      <c r="CH47" s="33">
        <f t="shared" si="58"/>
        <v>0</v>
      </c>
      <c r="CI47" s="33">
        <f t="shared" si="58"/>
        <v>0</v>
      </c>
      <c r="CJ47" s="33">
        <f t="shared" si="58"/>
        <v>0</v>
      </c>
      <c r="CK47" s="33">
        <f t="shared" si="58"/>
        <v>0</v>
      </c>
      <c r="CL47" s="33" t="e">
        <f t="shared" si="59"/>
        <v>#N/A</v>
      </c>
      <c r="CM47" s="33" t="e">
        <f t="shared" si="59"/>
        <v>#N/A</v>
      </c>
      <c r="CN47" s="33">
        <f t="shared" si="59"/>
        <v>0</v>
      </c>
      <c r="CO47" s="33">
        <f t="shared" si="59"/>
        <v>0</v>
      </c>
      <c r="CP47" s="33">
        <f t="shared" si="59"/>
        <v>0</v>
      </c>
      <c r="CQ47" s="33">
        <f t="shared" si="59"/>
        <v>0</v>
      </c>
      <c r="CR47" s="33" t="e">
        <f t="shared" si="59"/>
        <v>#N/A</v>
      </c>
      <c r="CS47" s="33"/>
      <c r="CT47" s="33"/>
      <c r="CU47" s="33"/>
      <c r="CV47" s="33"/>
      <c r="CW47" s="33"/>
      <c r="CX47" s="33"/>
      <c r="CY47" s="33"/>
      <c r="CZ47" s="33"/>
      <c r="DA47" s="33"/>
      <c r="DD47" s="33"/>
      <c r="DE47" s="33"/>
      <c r="DF47" s="33"/>
      <c r="DG47" s="33"/>
      <c r="DH47" s="33"/>
      <c r="DI47" s="33"/>
      <c r="DJ47" s="33"/>
      <c r="DK47" s="33"/>
      <c r="DL47" s="33"/>
      <c r="DM47" s="33"/>
      <c r="DN47" s="33"/>
      <c r="DO47" s="33"/>
      <c r="DP47" s="33"/>
      <c r="DQ47" s="33"/>
      <c r="DR47" s="33"/>
      <c r="DS47" s="33"/>
      <c r="DT47" s="33"/>
      <c r="DU47" s="33"/>
      <c r="DV47" s="33"/>
    </row>
    <row r="48" spans="9:126">
      <c r="I48" s="34"/>
      <c r="J48" s="129"/>
      <c r="L48" s="34"/>
      <c r="M48" s="34"/>
      <c r="S48" s="68"/>
      <c r="T48" s="68"/>
      <c r="U48" s="68"/>
      <c r="V48" s="68"/>
      <c r="W48" s="68"/>
      <c r="X48" s="68"/>
      <c r="Y48" s="68"/>
      <c r="Z48" s="68"/>
      <c r="AA48" s="68"/>
      <c r="AB48" s="68"/>
      <c r="AC48" s="68"/>
      <c r="AD48" s="68"/>
      <c r="AE48" s="68"/>
      <c r="AF48" s="68"/>
      <c r="AG48" s="68"/>
      <c r="AI48" s="34" t="e">
        <f t="shared" si="10"/>
        <v>#VALUE!</v>
      </c>
      <c r="AJ48" t="e">
        <f t="shared" si="9"/>
        <v>#VALUE!</v>
      </c>
      <c r="AK48" s="151">
        <v>44616</v>
      </c>
      <c r="AL48" s="134">
        <f t="shared" si="11"/>
        <v>18500</v>
      </c>
      <c r="AM48" s="33">
        <v>757900</v>
      </c>
      <c r="AN48" s="132">
        <v>115.7</v>
      </c>
      <c r="AO48" s="33">
        <v>0.22</v>
      </c>
      <c r="AP48" s="134">
        <v>18500</v>
      </c>
      <c r="AQ48" s="33">
        <v>17.920000000000002</v>
      </c>
      <c r="AR48" t="s">
        <v>502</v>
      </c>
      <c r="AS48" s="133">
        <v>916.25</v>
      </c>
      <c r="AT48" s="33">
        <v>-0.78</v>
      </c>
      <c r="AU48" s="33">
        <v>299250</v>
      </c>
      <c r="AV48" s="33">
        <v>-4.16</v>
      </c>
      <c r="AW48" s="33">
        <v>15.79</v>
      </c>
      <c r="AX48" s="33">
        <v>2.9999999999999997E-4</v>
      </c>
      <c r="AZ48" s="143">
        <f t="shared" si="52"/>
        <v>19585.714285714286</v>
      </c>
      <c r="BA48" s="33">
        <f t="shared" si="46"/>
        <v>-440685.71428571502</v>
      </c>
      <c r="BB48" s="33"/>
      <c r="BC48" s="33">
        <f t="shared" si="47"/>
        <v>0</v>
      </c>
      <c r="BD48" s="33">
        <f t="shared" si="47"/>
        <v>0</v>
      </c>
      <c r="BE48" s="33">
        <f t="shared" si="47"/>
        <v>0</v>
      </c>
      <c r="BF48" s="33">
        <f t="shared" si="47"/>
        <v>0</v>
      </c>
      <c r="BG48" s="33">
        <f t="shared" si="47"/>
        <v>18000</v>
      </c>
      <c r="BH48" s="33">
        <f t="shared" si="47"/>
        <v>25500</v>
      </c>
      <c r="BI48" s="33">
        <f t="shared" si="47"/>
        <v>-13700</v>
      </c>
      <c r="BJ48" s="33">
        <f t="shared" si="57"/>
        <v>0</v>
      </c>
      <c r="BK48" s="33">
        <f t="shared" si="57"/>
        <v>0</v>
      </c>
      <c r="BL48" s="33">
        <f t="shared" si="57"/>
        <v>0</v>
      </c>
      <c r="BM48" s="33">
        <f t="shared" si="57"/>
        <v>0</v>
      </c>
      <c r="BN48" s="33">
        <f t="shared" si="57"/>
        <v>0</v>
      </c>
      <c r="BO48" s="33">
        <f t="shared" si="48"/>
        <v>0</v>
      </c>
      <c r="BP48" s="33">
        <f t="shared" si="48"/>
        <v>66085.714285714319</v>
      </c>
      <c r="BQ48" s="33">
        <f t="shared" si="48"/>
        <v>-536571.42857142934</v>
      </c>
      <c r="BR48" s="33">
        <f t="shared" si="48"/>
        <v>0</v>
      </c>
      <c r="BS48" s="33">
        <f t="shared" si="48"/>
        <v>0</v>
      </c>
      <c r="BT48" s="33">
        <f t="shared" si="48"/>
        <v>0</v>
      </c>
      <c r="BU48" s="33" t="e">
        <f t="shared" si="48"/>
        <v>#N/A</v>
      </c>
      <c r="BW48" s="143">
        <f t="shared" si="53"/>
        <v>41121.428571428572</v>
      </c>
      <c r="BX48" s="33">
        <f t="shared" si="49"/>
        <v>0</v>
      </c>
      <c r="BY48" s="33"/>
      <c r="BZ48" s="33" t="e">
        <f t="shared" si="58"/>
        <v>#N/A</v>
      </c>
      <c r="CA48" s="33" t="e">
        <f t="shared" si="58"/>
        <v>#N/A</v>
      </c>
      <c r="CB48" s="33" t="e">
        <f t="shared" si="58"/>
        <v>#N/A</v>
      </c>
      <c r="CC48" s="33" t="e">
        <f t="shared" si="58"/>
        <v>#N/A</v>
      </c>
      <c r="CD48" s="33">
        <f t="shared" si="58"/>
        <v>0</v>
      </c>
      <c r="CE48" s="33">
        <f t="shared" si="58"/>
        <v>0</v>
      </c>
      <c r="CF48" s="33">
        <f t="shared" si="58"/>
        <v>0</v>
      </c>
      <c r="CG48" s="33">
        <f t="shared" si="58"/>
        <v>0</v>
      </c>
      <c r="CH48" s="33">
        <f t="shared" si="58"/>
        <v>0</v>
      </c>
      <c r="CI48" s="33">
        <f t="shared" si="58"/>
        <v>0</v>
      </c>
      <c r="CJ48" s="33">
        <f t="shared" si="58"/>
        <v>0</v>
      </c>
      <c r="CK48" s="33">
        <f t="shared" si="58"/>
        <v>0</v>
      </c>
      <c r="CL48" s="33" t="e">
        <f t="shared" si="59"/>
        <v>#N/A</v>
      </c>
      <c r="CM48" s="33" t="e">
        <f t="shared" si="59"/>
        <v>#N/A</v>
      </c>
      <c r="CN48" s="33">
        <f t="shared" si="59"/>
        <v>0</v>
      </c>
      <c r="CO48" s="33">
        <f t="shared" si="59"/>
        <v>0</v>
      </c>
      <c r="CP48" s="33">
        <f t="shared" si="59"/>
        <v>0</v>
      </c>
      <c r="CQ48" s="33">
        <f t="shared" si="59"/>
        <v>0</v>
      </c>
      <c r="CR48" s="33" t="e">
        <f t="shared" si="59"/>
        <v>#N/A</v>
      </c>
      <c r="CS48" s="33"/>
      <c r="CT48" s="33"/>
      <c r="CU48" s="33"/>
      <c r="CV48" s="33"/>
      <c r="CW48" s="33"/>
      <c r="CX48" s="33"/>
      <c r="CY48" s="33"/>
      <c r="CZ48" s="33"/>
      <c r="DA48" s="33"/>
      <c r="DD48" s="33"/>
      <c r="DE48" s="33"/>
      <c r="DF48" s="33"/>
      <c r="DG48" s="33"/>
      <c r="DH48" s="33"/>
      <c r="DI48" s="33"/>
      <c r="DJ48" s="33"/>
      <c r="DK48" s="33"/>
      <c r="DL48" s="33"/>
      <c r="DM48" s="33"/>
      <c r="DN48" s="33"/>
      <c r="DO48" s="33"/>
      <c r="DP48" s="33"/>
      <c r="DQ48" s="33"/>
      <c r="DR48" s="33"/>
      <c r="DS48" s="33"/>
      <c r="DT48" s="33"/>
      <c r="DU48" s="33"/>
      <c r="DV48" s="33"/>
    </row>
    <row r="49" spans="9:126">
      <c r="I49" s="34"/>
      <c r="J49" s="129"/>
      <c r="L49" s="34"/>
      <c r="M49" s="34"/>
      <c r="S49" s="68"/>
      <c r="T49" s="68"/>
      <c r="U49" s="68"/>
      <c r="V49" s="68"/>
      <c r="W49" s="68"/>
      <c r="X49" s="68"/>
      <c r="Y49" s="68"/>
      <c r="Z49" s="68"/>
      <c r="AA49" s="68"/>
      <c r="AB49" s="68"/>
      <c r="AC49" s="68"/>
      <c r="AD49" s="68"/>
      <c r="AE49" s="68"/>
      <c r="AF49" s="68"/>
      <c r="AG49" s="68"/>
      <c r="AI49" s="34" t="e">
        <f t="shared" si="10"/>
        <v>#VALUE!</v>
      </c>
      <c r="AJ49" t="e">
        <f t="shared" si="9"/>
        <v>#VALUE!</v>
      </c>
      <c r="AK49" s="151">
        <v>44616</v>
      </c>
      <c r="AL49" s="134">
        <f t="shared" si="11"/>
        <v>18550</v>
      </c>
      <c r="AM49" s="33">
        <v>8600</v>
      </c>
      <c r="AN49" s="132">
        <v>105</v>
      </c>
      <c r="AO49" s="33">
        <v>0.2</v>
      </c>
      <c r="AP49" s="134">
        <v>18550</v>
      </c>
      <c r="AQ49" s="33">
        <v>17.850000000000001</v>
      </c>
      <c r="AR49" t="s">
        <v>502</v>
      </c>
      <c r="AS49" s="133">
        <v>922.95</v>
      </c>
      <c r="AT49" s="33">
        <v>-0.8</v>
      </c>
      <c r="AU49" s="33">
        <v>1300</v>
      </c>
      <c r="AV49" s="33">
        <v>-3.97</v>
      </c>
      <c r="AW49" s="33">
        <v>15.13</v>
      </c>
      <c r="AX49" s="33">
        <v>2.9E-4</v>
      </c>
      <c r="AZ49" s="143">
        <f t="shared" si="52"/>
        <v>19685.714285714286</v>
      </c>
      <c r="BA49" s="33">
        <f t="shared" si="46"/>
        <v>-585685.71428571502</v>
      </c>
      <c r="BB49" s="33"/>
      <c r="BC49" s="33">
        <f t="shared" si="47"/>
        <v>0</v>
      </c>
      <c r="BD49" s="33">
        <f t="shared" si="47"/>
        <v>0</v>
      </c>
      <c r="BE49" s="33">
        <f t="shared" si="47"/>
        <v>0</v>
      </c>
      <c r="BF49" s="33">
        <f t="shared" si="47"/>
        <v>0</v>
      </c>
      <c r="BG49" s="33">
        <f t="shared" si="47"/>
        <v>18000</v>
      </c>
      <c r="BH49" s="33">
        <f t="shared" si="47"/>
        <v>25500</v>
      </c>
      <c r="BI49" s="33">
        <f t="shared" si="47"/>
        <v>-13700</v>
      </c>
      <c r="BJ49" s="33">
        <f t="shared" si="57"/>
        <v>0</v>
      </c>
      <c r="BK49" s="33">
        <f t="shared" si="57"/>
        <v>0</v>
      </c>
      <c r="BL49" s="33">
        <f t="shared" si="57"/>
        <v>0</v>
      </c>
      <c r="BM49" s="33">
        <f t="shared" si="57"/>
        <v>0</v>
      </c>
      <c r="BN49" s="33">
        <f t="shared" si="57"/>
        <v>0</v>
      </c>
      <c r="BO49" s="33">
        <f t="shared" si="48"/>
        <v>0</v>
      </c>
      <c r="BP49" s="33">
        <f t="shared" si="48"/>
        <v>71085.714285714319</v>
      </c>
      <c r="BQ49" s="33">
        <f t="shared" si="48"/>
        <v>-686571.42857142934</v>
      </c>
      <c r="BR49" s="33">
        <f t="shared" si="48"/>
        <v>0</v>
      </c>
      <c r="BS49" s="33">
        <f t="shared" si="48"/>
        <v>0</v>
      </c>
      <c r="BT49" s="33">
        <f t="shared" si="48"/>
        <v>0</v>
      </c>
      <c r="BU49" s="33" t="e">
        <f t="shared" si="48"/>
        <v>#N/A</v>
      </c>
      <c r="BW49" s="143">
        <f t="shared" si="53"/>
        <v>41171.428571428572</v>
      </c>
      <c r="BX49" s="33">
        <f t="shared" si="49"/>
        <v>0</v>
      </c>
      <c r="BY49" s="33"/>
      <c r="BZ49" s="33" t="e">
        <f t="shared" si="58"/>
        <v>#N/A</v>
      </c>
      <c r="CA49" s="33" t="e">
        <f t="shared" si="58"/>
        <v>#N/A</v>
      </c>
      <c r="CB49" s="33" t="e">
        <f t="shared" si="58"/>
        <v>#N/A</v>
      </c>
      <c r="CC49" s="33" t="e">
        <f t="shared" si="58"/>
        <v>#N/A</v>
      </c>
      <c r="CD49" s="33">
        <f t="shared" si="58"/>
        <v>0</v>
      </c>
      <c r="CE49" s="33">
        <f t="shared" si="58"/>
        <v>0</v>
      </c>
      <c r="CF49" s="33">
        <f t="shared" si="58"/>
        <v>0</v>
      </c>
      <c r="CG49" s="33">
        <f t="shared" si="58"/>
        <v>0</v>
      </c>
      <c r="CH49" s="33">
        <f t="shared" si="58"/>
        <v>0</v>
      </c>
      <c r="CI49" s="33">
        <f t="shared" si="58"/>
        <v>0</v>
      </c>
      <c r="CJ49" s="33">
        <f t="shared" si="58"/>
        <v>0</v>
      </c>
      <c r="CK49" s="33">
        <f t="shared" si="58"/>
        <v>0</v>
      </c>
      <c r="CL49" s="33" t="e">
        <f t="shared" si="59"/>
        <v>#N/A</v>
      </c>
      <c r="CM49" s="33" t="e">
        <f t="shared" si="59"/>
        <v>#N/A</v>
      </c>
      <c r="CN49" s="33">
        <f t="shared" si="59"/>
        <v>0</v>
      </c>
      <c r="CO49" s="33">
        <f t="shared" si="59"/>
        <v>0</v>
      </c>
      <c r="CP49" s="33">
        <f t="shared" si="59"/>
        <v>0</v>
      </c>
      <c r="CQ49" s="33">
        <f t="shared" si="59"/>
        <v>0</v>
      </c>
      <c r="CR49" s="33" t="e">
        <f t="shared" si="59"/>
        <v>#N/A</v>
      </c>
      <c r="CS49" s="33"/>
      <c r="CT49" s="33"/>
      <c r="CU49" s="33"/>
      <c r="CV49" s="33"/>
      <c r="CW49" s="33"/>
      <c r="CX49" s="33"/>
      <c r="CY49" s="33"/>
      <c r="CZ49" s="33"/>
      <c r="DA49" s="33"/>
      <c r="DD49" s="33"/>
      <c r="DE49" s="33"/>
      <c r="DF49" s="33"/>
      <c r="DG49" s="33"/>
      <c r="DH49" s="33"/>
      <c r="DI49" s="33"/>
      <c r="DJ49" s="33"/>
      <c r="DK49" s="33"/>
      <c r="DL49" s="33"/>
      <c r="DM49" s="33"/>
      <c r="DN49" s="33"/>
      <c r="DO49" s="33"/>
      <c r="DP49" s="33"/>
      <c r="DQ49" s="33"/>
      <c r="DR49" s="33"/>
      <c r="DS49" s="33"/>
      <c r="DT49" s="33"/>
      <c r="DU49" s="33"/>
      <c r="DV49" s="33"/>
    </row>
    <row r="50" spans="9:126">
      <c r="I50" s="34"/>
      <c r="J50" s="129"/>
      <c r="L50" s="34"/>
      <c r="M50" s="34"/>
      <c r="S50" s="68"/>
      <c r="T50" s="68"/>
      <c r="U50" s="68"/>
      <c r="V50" s="68"/>
      <c r="W50" s="68"/>
      <c r="X50" s="68"/>
      <c r="Y50" s="68"/>
      <c r="Z50" s="68"/>
      <c r="AA50" s="68"/>
      <c r="AB50" s="68"/>
      <c r="AC50" s="68"/>
      <c r="AD50" s="68"/>
      <c r="AE50" s="68"/>
      <c r="AF50" s="68"/>
      <c r="AG50" s="68"/>
      <c r="AI50" s="34" t="e">
        <f t="shared" si="10"/>
        <v>#VALUE!</v>
      </c>
      <c r="AJ50" t="e">
        <f t="shared" si="9"/>
        <v>#VALUE!</v>
      </c>
      <c r="AK50" s="151">
        <v>44616</v>
      </c>
      <c r="AL50" s="134">
        <f t="shared" si="11"/>
        <v>18600</v>
      </c>
      <c r="AM50" s="33">
        <v>142950</v>
      </c>
      <c r="AN50" s="132">
        <v>97</v>
      </c>
      <c r="AO50" s="33">
        <v>0.19</v>
      </c>
      <c r="AP50" s="134">
        <v>18600</v>
      </c>
      <c r="AQ50" s="33">
        <v>17.91</v>
      </c>
      <c r="AR50" t="s">
        <v>502</v>
      </c>
      <c r="AS50" s="133">
        <v>993.8</v>
      </c>
      <c r="AT50" s="33">
        <v>-0.81</v>
      </c>
      <c r="AU50" s="33">
        <v>17600</v>
      </c>
      <c r="AV50" s="33">
        <v>-3.83</v>
      </c>
      <c r="AW50" s="33">
        <v>14.54</v>
      </c>
      <c r="AX50" s="33">
        <v>2.7999999999999998E-4</v>
      </c>
      <c r="AZ50" s="143">
        <f t="shared" si="52"/>
        <v>19785.714285714286</v>
      </c>
      <c r="BA50" s="33">
        <f t="shared" si="46"/>
        <v>-730685.71428571502</v>
      </c>
      <c r="BB50" s="33"/>
      <c r="BC50" s="33">
        <f t="shared" si="47"/>
        <v>0</v>
      </c>
      <c r="BD50" s="33">
        <f t="shared" si="47"/>
        <v>0</v>
      </c>
      <c r="BE50" s="33">
        <f t="shared" si="47"/>
        <v>0</v>
      </c>
      <c r="BF50" s="33">
        <f t="shared" si="47"/>
        <v>0</v>
      </c>
      <c r="BG50" s="33">
        <f t="shared" si="47"/>
        <v>18000</v>
      </c>
      <c r="BH50" s="33">
        <f t="shared" si="47"/>
        <v>25500</v>
      </c>
      <c r="BI50" s="33">
        <f t="shared" si="47"/>
        <v>-13700</v>
      </c>
      <c r="BJ50" s="33">
        <f t="shared" si="57"/>
        <v>0</v>
      </c>
      <c r="BK50" s="33">
        <f t="shared" si="57"/>
        <v>0</v>
      </c>
      <c r="BL50" s="33">
        <f t="shared" si="57"/>
        <v>0</v>
      </c>
      <c r="BM50" s="33">
        <f t="shared" si="57"/>
        <v>0</v>
      </c>
      <c r="BN50" s="33">
        <f t="shared" si="57"/>
        <v>0</v>
      </c>
      <c r="BO50" s="33">
        <f t="shared" si="48"/>
        <v>0</v>
      </c>
      <c r="BP50" s="33">
        <f t="shared" si="48"/>
        <v>76085.714285714319</v>
      </c>
      <c r="BQ50" s="33">
        <f t="shared" si="48"/>
        <v>-836571.42857142934</v>
      </c>
      <c r="BR50" s="33">
        <f t="shared" si="48"/>
        <v>0</v>
      </c>
      <c r="BS50" s="33">
        <f t="shared" si="48"/>
        <v>0</v>
      </c>
      <c r="BT50" s="33">
        <f t="shared" si="48"/>
        <v>0</v>
      </c>
      <c r="BU50" s="33" t="e">
        <f t="shared" si="48"/>
        <v>#N/A</v>
      </c>
      <c r="BW50" s="143">
        <f t="shared" si="53"/>
        <v>41221.428571428572</v>
      </c>
      <c r="BX50" s="33">
        <f t="shared" si="49"/>
        <v>0</v>
      </c>
      <c r="BY50" s="33"/>
      <c r="BZ50" s="33" t="e">
        <f t="shared" si="58"/>
        <v>#N/A</v>
      </c>
      <c r="CA50" s="33" t="e">
        <f t="shared" si="58"/>
        <v>#N/A</v>
      </c>
      <c r="CB50" s="33" t="e">
        <f t="shared" si="58"/>
        <v>#N/A</v>
      </c>
      <c r="CC50" s="33" t="e">
        <f t="shared" si="58"/>
        <v>#N/A</v>
      </c>
      <c r="CD50" s="33">
        <f t="shared" si="58"/>
        <v>0</v>
      </c>
      <c r="CE50" s="33">
        <f t="shared" si="58"/>
        <v>0</v>
      </c>
      <c r="CF50" s="33">
        <f t="shared" si="58"/>
        <v>0</v>
      </c>
      <c r="CG50" s="33">
        <f t="shared" si="58"/>
        <v>0</v>
      </c>
      <c r="CH50" s="33">
        <f t="shared" si="58"/>
        <v>0</v>
      </c>
      <c r="CI50" s="33">
        <f t="shared" si="58"/>
        <v>0</v>
      </c>
      <c r="CJ50" s="33">
        <f t="shared" si="58"/>
        <v>0</v>
      </c>
      <c r="CK50" s="33">
        <f t="shared" si="58"/>
        <v>0</v>
      </c>
      <c r="CL50" s="33" t="e">
        <f t="shared" si="59"/>
        <v>#N/A</v>
      </c>
      <c r="CM50" s="33" t="e">
        <f t="shared" si="59"/>
        <v>#N/A</v>
      </c>
      <c r="CN50" s="33">
        <f t="shared" si="59"/>
        <v>0</v>
      </c>
      <c r="CO50" s="33">
        <f t="shared" si="59"/>
        <v>0</v>
      </c>
      <c r="CP50" s="33">
        <f t="shared" si="59"/>
        <v>0</v>
      </c>
      <c r="CQ50" s="33">
        <f t="shared" si="59"/>
        <v>0</v>
      </c>
      <c r="CR50" s="33" t="e">
        <f t="shared" si="59"/>
        <v>#N/A</v>
      </c>
      <c r="CS50" s="33"/>
      <c r="CT50" s="33"/>
      <c r="CU50" s="33"/>
      <c r="CV50" s="33"/>
      <c r="CW50" s="33"/>
      <c r="CX50" s="33"/>
      <c r="CY50" s="33"/>
      <c r="CZ50" s="33"/>
      <c r="DA50" s="33"/>
      <c r="DD50" s="33"/>
      <c r="DE50" s="33"/>
      <c r="DF50" s="33"/>
      <c r="DG50" s="33"/>
      <c r="DH50" s="33"/>
      <c r="DI50" s="33"/>
      <c r="DJ50" s="33"/>
      <c r="DK50" s="33"/>
      <c r="DL50" s="33"/>
      <c r="DM50" s="33"/>
      <c r="DN50" s="33"/>
      <c r="DO50" s="33"/>
      <c r="DP50" s="33"/>
      <c r="DQ50" s="33"/>
      <c r="DR50" s="33"/>
      <c r="DS50" s="33"/>
      <c r="DT50" s="33"/>
      <c r="DU50" s="33"/>
      <c r="DV50" s="33"/>
    </row>
    <row r="51" spans="9:126">
      <c r="I51" s="34"/>
      <c r="J51" s="129"/>
      <c r="L51" s="34"/>
      <c r="M51" s="34"/>
      <c r="S51" s="68"/>
      <c r="T51" s="68"/>
      <c r="U51" s="68"/>
      <c r="V51" s="68"/>
      <c r="W51" s="68"/>
      <c r="X51" s="68"/>
      <c r="Y51" s="68"/>
      <c r="Z51" s="68"/>
      <c r="AA51" s="68"/>
      <c r="AB51" s="68"/>
      <c r="AC51" s="68"/>
      <c r="AD51" s="68"/>
      <c r="AE51" s="68"/>
      <c r="AF51" s="68"/>
      <c r="AG51" s="68"/>
      <c r="AI51" s="34" t="e">
        <f t="shared" si="10"/>
        <v>#VALUE!</v>
      </c>
      <c r="AJ51" t="e">
        <f t="shared" si="9"/>
        <v>#VALUE!</v>
      </c>
      <c r="AK51" s="151">
        <v>44616</v>
      </c>
      <c r="AL51" s="134">
        <f t="shared" si="11"/>
        <v>18650</v>
      </c>
      <c r="AM51" s="33">
        <v>5750</v>
      </c>
      <c r="AN51" s="132">
        <v>88.35</v>
      </c>
      <c r="AO51" s="33">
        <v>0.17</v>
      </c>
      <c r="AP51" s="134">
        <v>18650</v>
      </c>
      <c r="AQ51" s="33">
        <v>17.89</v>
      </c>
      <c r="AR51" t="s">
        <v>502</v>
      </c>
      <c r="AS51" s="133">
        <v>998.4</v>
      </c>
      <c r="AT51" s="33">
        <v>-0.83</v>
      </c>
      <c r="AU51" s="33">
        <v>1250</v>
      </c>
      <c r="AV51" s="33">
        <v>-3.65</v>
      </c>
      <c r="AW51" s="33">
        <v>13.88</v>
      </c>
      <c r="AX51" s="33">
        <v>2.7E-4</v>
      </c>
      <c r="AZ51" s="143">
        <f t="shared" si="52"/>
        <v>19885.714285714286</v>
      </c>
      <c r="BA51" s="33">
        <f t="shared" si="46"/>
        <v>-875685.71428571502</v>
      </c>
      <c r="BB51" s="33"/>
      <c r="BC51" s="33">
        <f t="shared" si="47"/>
        <v>0</v>
      </c>
      <c r="BD51" s="33">
        <f t="shared" si="47"/>
        <v>0</v>
      </c>
      <c r="BE51" s="33">
        <f t="shared" si="47"/>
        <v>0</v>
      </c>
      <c r="BF51" s="33">
        <f t="shared" si="47"/>
        <v>0</v>
      </c>
      <c r="BG51" s="33">
        <f t="shared" si="47"/>
        <v>18000</v>
      </c>
      <c r="BH51" s="33">
        <f t="shared" si="47"/>
        <v>25500</v>
      </c>
      <c r="BI51" s="33">
        <f t="shared" si="47"/>
        <v>-13700</v>
      </c>
      <c r="BJ51" s="33">
        <f t="shared" si="57"/>
        <v>0</v>
      </c>
      <c r="BK51" s="33">
        <f t="shared" si="57"/>
        <v>0</v>
      </c>
      <c r="BL51" s="33">
        <f t="shared" si="57"/>
        <v>0</v>
      </c>
      <c r="BM51" s="33">
        <f t="shared" si="57"/>
        <v>0</v>
      </c>
      <c r="BN51" s="33">
        <f t="shared" si="57"/>
        <v>0</v>
      </c>
      <c r="BO51" s="33">
        <f t="shared" si="48"/>
        <v>0</v>
      </c>
      <c r="BP51" s="33">
        <f t="shared" si="48"/>
        <v>81085.714285714319</v>
      </c>
      <c r="BQ51" s="33">
        <f t="shared" si="48"/>
        <v>-986571.42857142934</v>
      </c>
      <c r="BR51" s="33">
        <f t="shared" si="48"/>
        <v>0</v>
      </c>
      <c r="BS51" s="33">
        <f t="shared" si="48"/>
        <v>0</v>
      </c>
      <c r="BT51" s="33">
        <f t="shared" si="48"/>
        <v>0</v>
      </c>
      <c r="BU51" s="33" t="e">
        <f t="shared" si="48"/>
        <v>#N/A</v>
      </c>
      <c r="BW51" s="143">
        <f t="shared" si="53"/>
        <v>41271.428571428572</v>
      </c>
      <c r="BX51" s="33">
        <f t="shared" si="49"/>
        <v>0</v>
      </c>
      <c r="BY51" s="33"/>
      <c r="BZ51" s="33" t="e">
        <f t="shared" si="58"/>
        <v>#N/A</v>
      </c>
      <c r="CA51" s="33" t="e">
        <f t="shared" si="58"/>
        <v>#N/A</v>
      </c>
      <c r="CB51" s="33" t="e">
        <f t="shared" si="58"/>
        <v>#N/A</v>
      </c>
      <c r="CC51" s="33" t="e">
        <f t="shared" si="58"/>
        <v>#N/A</v>
      </c>
      <c r="CD51" s="33">
        <f t="shared" si="58"/>
        <v>0</v>
      </c>
      <c r="CE51" s="33">
        <f t="shared" si="58"/>
        <v>0</v>
      </c>
      <c r="CF51" s="33">
        <f t="shared" si="58"/>
        <v>0</v>
      </c>
      <c r="CG51" s="33">
        <f t="shared" si="58"/>
        <v>0</v>
      </c>
      <c r="CH51" s="33">
        <f t="shared" si="58"/>
        <v>0</v>
      </c>
      <c r="CI51" s="33">
        <f t="shared" si="58"/>
        <v>0</v>
      </c>
      <c r="CJ51" s="33">
        <f t="shared" si="58"/>
        <v>0</v>
      </c>
      <c r="CK51" s="33">
        <f t="shared" si="58"/>
        <v>0</v>
      </c>
      <c r="CL51" s="33" t="e">
        <f t="shared" si="59"/>
        <v>#N/A</v>
      </c>
      <c r="CM51" s="33" t="e">
        <f t="shared" si="59"/>
        <v>#N/A</v>
      </c>
      <c r="CN51" s="33">
        <f t="shared" si="59"/>
        <v>0</v>
      </c>
      <c r="CO51" s="33">
        <f t="shared" si="59"/>
        <v>0</v>
      </c>
      <c r="CP51" s="33">
        <f t="shared" si="59"/>
        <v>0</v>
      </c>
      <c r="CQ51" s="33">
        <f t="shared" si="59"/>
        <v>0</v>
      </c>
      <c r="CR51" s="33" t="e">
        <f t="shared" si="59"/>
        <v>#N/A</v>
      </c>
      <c r="CS51" s="33"/>
      <c r="CT51" s="33"/>
      <c r="CU51" s="33"/>
      <c r="CV51" s="33"/>
      <c r="CW51" s="33"/>
      <c r="CX51" s="33"/>
      <c r="CY51" s="33"/>
      <c r="CZ51" s="33"/>
      <c r="DA51" s="33"/>
      <c r="DD51" s="33"/>
      <c r="DE51" s="33"/>
      <c r="DF51" s="33"/>
      <c r="DG51" s="33"/>
      <c r="DH51" s="33"/>
      <c r="DI51" s="33"/>
      <c r="DJ51" s="33"/>
      <c r="DK51" s="33"/>
      <c r="DL51" s="33"/>
      <c r="DM51" s="33"/>
      <c r="DN51" s="33"/>
      <c r="DO51" s="33"/>
      <c r="DP51" s="33"/>
      <c r="DQ51" s="33"/>
      <c r="DR51" s="33"/>
      <c r="DS51" s="33"/>
      <c r="DT51" s="33"/>
      <c r="DU51" s="33"/>
      <c r="DV51" s="33"/>
    </row>
    <row r="52" spans="9:126">
      <c r="I52" s="34"/>
      <c r="J52" s="129"/>
      <c r="L52" s="34"/>
      <c r="M52" s="34"/>
      <c r="S52" s="68"/>
      <c r="T52" s="68"/>
      <c r="U52" s="68"/>
      <c r="V52" s="68"/>
      <c r="W52" s="68"/>
      <c r="X52" s="68"/>
      <c r="Y52" s="68"/>
      <c r="Z52" s="68"/>
      <c r="AA52" s="68"/>
      <c r="AB52" s="68"/>
      <c r="AC52" s="68"/>
      <c r="AD52" s="68"/>
      <c r="AE52" s="68"/>
      <c r="AF52" s="68"/>
      <c r="AG52" s="68"/>
      <c r="AI52" s="34" t="e">
        <f t="shared" si="10"/>
        <v>#VALUE!</v>
      </c>
      <c r="AJ52" t="e">
        <f t="shared" si="9"/>
        <v>#VALUE!</v>
      </c>
      <c r="AK52" s="151">
        <v>44616</v>
      </c>
      <c r="AL52" s="134">
        <f t="shared" si="11"/>
        <v>18700</v>
      </c>
      <c r="AM52" s="33">
        <v>141650</v>
      </c>
      <c r="AN52" s="132">
        <v>80.099999999999994</v>
      </c>
      <c r="AO52" s="33">
        <v>0.16</v>
      </c>
      <c r="AP52" s="134">
        <v>18700</v>
      </c>
      <c r="AQ52" s="33">
        <v>17.850000000000001</v>
      </c>
      <c r="AR52" t="s">
        <v>502</v>
      </c>
      <c r="AS52" s="133">
        <v>1082.55</v>
      </c>
      <c r="AT52" s="33">
        <v>-0.84</v>
      </c>
      <c r="AU52" s="33">
        <v>8000</v>
      </c>
      <c r="AV52" s="33">
        <v>-3.47</v>
      </c>
      <c r="AW52" s="33">
        <v>13.22</v>
      </c>
      <c r="AX52" s="33">
        <v>2.5000000000000001E-4</v>
      </c>
      <c r="AZ52" s="143">
        <f t="shared" si="52"/>
        <v>19985.714285714286</v>
      </c>
      <c r="BA52" s="33">
        <f t="shared" si="46"/>
        <v>-1020685.714285715</v>
      </c>
      <c r="BB52" s="33"/>
      <c r="BC52" s="33">
        <f t="shared" si="47"/>
        <v>0</v>
      </c>
      <c r="BD52" s="33">
        <f t="shared" si="47"/>
        <v>0</v>
      </c>
      <c r="BE52" s="33">
        <f t="shared" si="47"/>
        <v>0</v>
      </c>
      <c r="BF52" s="33">
        <f t="shared" si="47"/>
        <v>0</v>
      </c>
      <c r="BG52" s="33">
        <f t="shared" si="47"/>
        <v>18000</v>
      </c>
      <c r="BH52" s="33">
        <f t="shared" si="47"/>
        <v>25500</v>
      </c>
      <c r="BI52" s="33">
        <f t="shared" si="47"/>
        <v>-13700</v>
      </c>
      <c r="BJ52" s="33">
        <f t="shared" si="57"/>
        <v>0</v>
      </c>
      <c r="BK52" s="33">
        <f t="shared" si="57"/>
        <v>0</v>
      </c>
      <c r="BL52" s="33">
        <f t="shared" si="57"/>
        <v>0</v>
      </c>
      <c r="BM52" s="33">
        <f t="shared" si="57"/>
        <v>0</v>
      </c>
      <c r="BN52" s="33">
        <f t="shared" si="57"/>
        <v>0</v>
      </c>
      <c r="BO52" s="33">
        <f t="shared" si="48"/>
        <v>0</v>
      </c>
      <c r="BP52" s="33">
        <f t="shared" si="48"/>
        <v>86085.714285714319</v>
      </c>
      <c r="BQ52" s="33">
        <f t="shared" si="48"/>
        <v>-1136571.4285714293</v>
      </c>
      <c r="BR52" s="33">
        <f t="shared" si="48"/>
        <v>0</v>
      </c>
      <c r="BS52" s="33">
        <f t="shared" si="48"/>
        <v>0</v>
      </c>
      <c r="BT52" s="33">
        <f t="shared" si="48"/>
        <v>0</v>
      </c>
      <c r="BU52" s="33" t="e">
        <f t="shared" si="48"/>
        <v>#N/A</v>
      </c>
      <c r="BW52" s="143">
        <f t="shared" si="53"/>
        <v>41321.428571428572</v>
      </c>
      <c r="BX52" s="33">
        <f t="shared" si="49"/>
        <v>0</v>
      </c>
      <c r="BY52" s="33"/>
      <c r="BZ52" s="33" t="e">
        <f t="shared" si="58"/>
        <v>#N/A</v>
      </c>
      <c r="CA52" s="33" t="e">
        <f t="shared" si="58"/>
        <v>#N/A</v>
      </c>
      <c r="CB52" s="33" t="e">
        <f t="shared" si="58"/>
        <v>#N/A</v>
      </c>
      <c r="CC52" s="33" t="e">
        <f t="shared" si="58"/>
        <v>#N/A</v>
      </c>
      <c r="CD52" s="33">
        <f t="shared" si="58"/>
        <v>0</v>
      </c>
      <c r="CE52" s="33">
        <f t="shared" si="58"/>
        <v>0</v>
      </c>
      <c r="CF52" s="33">
        <f t="shared" si="58"/>
        <v>0</v>
      </c>
      <c r="CG52" s="33">
        <f t="shared" si="58"/>
        <v>0</v>
      </c>
      <c r="CH52" s="33">
        <f t="shared" si="58"/>
        <v>0</v>
      </c>
      <c r="CI52" s="33">
        <f t="shared" si="58"/>
        <v>0</v>
      </c>
      <c r="CJ52" s="33">
        <f t="shared" si="58"/>
        <v>0</v>
      </c>
      <c r="CK52" s="33">
        <f t="shared" si="58"/>
        <v>0</v>
      </c>
      <c r="CL52" s="33" t="e">
        <f t="shared" si="59"/>
        <v>#N/A</v>
      </c>
      <c r="CM52" s="33" t="e">
        <f t="shared" si="59"/>
        <v>#N/A</v>
      </c>
      <c r="CN52" s="33">
        <f t="shared" si="59"/>
        <v>0</v>
      </c>
      <c r="CO52" s="33">
        <f t="shared" si="59"/>
        <v>0</v>
      </c>
      <c r="CP52" s="33">
        <f t="shared" si="59"/>
        <v>0</v>
      </c>
      <c r="CQ52" s="33">
        <f t="shared" si="59"/>
        <v>0</v>
      </c>
      <c r="CR52" s="33" t="e">
        <f t="shared" si="59"/>
        <v>#N/A</v>
      </c>
      <c r="CS52" s="33"/>
      <c r="CT52" s="33"/>
      <c r="CU52" s="33"/>
      <c r="CV52" s="33"/>
      <c r="CW52" s="33"/>
      <c r="CX52" s="33"/>
      <c r="CY52" s="33"/>
      <c r="CZ52" s="33"/>
      <c r="DA52" s="33"/>
      <c r="DD52" s="33"/>
      <c r="DE52" s="33"/>
      <c r="DF52" s="33"/>
      <c r="DG52" s="33"/>
      <c r="DH52" s="33"/>
      <c r="DI52" s="33"/>
      <c r="DJ52" s="33"/>
      <c r="DK52" s="33"/>
      <c r="DL52" s="33"/>
      <c r="DM52" s="33"/>
      <c r="DN52" s="33"/>
      <c r="DO52" s="33"/>
      <c r="DP52" s="33"/>
      <c r="DQ52" s="33"/>
      <c r="DR52" s="33"/>
      <c r="DS52" s="33"/>
      <c r="DT52" s="33"/>
      <c r="DU52" s="33"/>
      <c r="DV52" s="33"/>
    </row>
    <row r="53" spans="9:126">
      <c r="I53" s="34"/>
      <c r="J53" s="129"/>
      <c r="L53" s="34"/>
      <c r="M53" s="34"/>
      <c r="S53" s="68"/>
      <c r="T53" s="68"/>
      <c r="U53" s="68"/>
      <c r="V53" s="68"/>
      <c r="W53" s="68"/>
      <c r="X53" s="68"/>
      <c r="Y53" s="68"/>
      <c r="Z53" s="68"/>
      <c r="AA53" s="68"/>
      <c r="AB53" s="68"/>
      <c r="AC53" s="68"/>
      <c r="AD53" s="68"/>
      <c r="AE53" s="68"/>
      <c r="AF53" s="68"/>
      <c r="AG53" s="68"/>
      <c r="AI53" s="34" t="e">
        <f t="shared" si="10"/>
        <v>#VALUE!</v>
      </c>
      <c r="AJ53" t="e">
        <f t="shared" si="9"/>
        <v>#VALUE!</v>
      </c>
      <c r="AK53" s="151">
        <v>44616</v>
      </c>
      <c r="AL53" s="134">
        <f t="shared" si="11"/>
        <v>18750</v>
      </c>
      <c r="AM53" s="33">
        <v>6150</v>
      </c>
      <c r="AN53" s="132">
        <v>72.7</v>
      </c>
      <c r="AO53" s="33">
        <v>0.15</v>
      </c>
      <c r="AP53" s="134">
        <v>18750</v>
      </c>
      <c r="AQ53" s="33">
        <v>17.829999999999998</v>
      </c>
      <c r="AR53" t="s">
        <v>502</v>
      </c>
      <c r="AS53" s="133">
        <v>1074.8</v>
      </c>
      <c r="AT53" s="33">
        <v>-0.85</v>
      </c>
      <c r="AU53" s="33">
        <v>1450</v>
      </c>
      <c r="AV53" s="33">
        <v>-3.29</v>
      </c>
      <c r="AW53" s="33">
        <v>12.56</v>
      </c>
      <c r="AX53" s="33">
        <v>2.4000000000000001E-4</v>
      </c>
      <c r="AZ53" s="143">
        <f t="shared" si="52"/>
        <v>20085.714285714286</v>
      </c>
      <c r="BA53" s="33">
        <f t="shared" si="46"/>
        <v>-1165685.714285715</v>
      </c>
      <c r="BB53" s="33"/>
      <c r="BC53" s="33">
        <f t="shared" si="47"/>
        <v>0</v>
      </c>
      <c r="BD53" s="33">
        <f t="shared" si="47"/>
        <v>0</v>
      </c>
      <c r="BE53" s="33">
        <f t="shared" si="47"/>
        <v>0</v>
      </c>
      <c r="BF53" s="33">
        <f t="shared" si="47"/>
        <v>0</v>
      </c>
      <c r="BG53" s="33">
        <f t="shared" si="47"/>
        <v>18000</v>
      </c>
      <c r="BH53" s="33">
        <f t="shared" si="47"/>
        <v>25500</v>
      </c>
      <c r="BI53" s="33">
        <f t="shared" si="47"/>
        <v>-13700</v>
      </c>
      <c r="BJ53" s="33">
        <f t="shared" si="57"/>
        <v>0</v>
      </c>
      <c r="BK53" s="33">
        <f t="shared" si="57"/>
        <v>0</v>
      </c>
      <c r="BL53" s="33">
        <f t="shared" si="57"/>
        <v>0</v>
      </c>
      <c r="BM53" s="33">
        <f t="shared" si="57"/>
        <v>0</v>
      </c>
      <c r="BN53" s="33">
        <f t="shared" si="57"/>
        <v>0</v>
      </c>
      <c r="BO53" s="33">
        <f t="shared" si="48"/>
        <v>0</v>
      </c>
      <c r="BP53" s="33">
        <f t="shared" si="48"/>
        <v>91085.714285714319</v>
      </c>
      <c r="BQ53" s="33">
        <f t="shared" si="48"/>
        <v>-1286571.4285714293</v>
      </c>
      <c r="BR53" s="33">
        <f t="shared" si="48"/>
        <v>0</v>
      </c>
      <c r="BS53" s="33">
        <f t="shared" si="48"/>
        <v>0</v>
      </c>
      <c r="BT53" s="33">
        <f t="shared" si="48"/>
        <v>0</v>
      </c>
      <c r="BU53" s="33" t="e">
        <f t="shared" si="48"/>
        <v>#N/A</v>
      </c>
      <c r="BW53" s="143">
        <f t="shared" si="53"/>
        <v>41371.428571428572</v>
      </c>
      <c r="BX53" s="33">
        <f t="shared" si="49"/>
        <v>0</v>
      </c>
      <c r="BY53" s="33"/>
      <c r="BZ53" s="33" t="e">
        <f t="shared" si="58"/>
        <v>#N/A</v>
      </c>
      <c r="CA53" s="33" t="e">
        <f t="shared" si="58"/>
        <v>#N/A</v>
      </c>
      <c r="CB53" s="33" t="e">
        <f t="shared" si="58"/>
        <v>#N/A</v>
      </c>
      <c r="CC53" s="33" t="e">
        <f t="shared" si="58"/>
        <v>#N/A</v>
      </c>
      <c r="CD53" s="33">
        <f t="shared" si="58"/>
        <v>0</v>
      </c>
      <c r="CE53" s="33">
        <f t="shared" si="58"/>
        <v>0</v>
      </c>
      <c r="CF53" s="33">
        <f t="shared" si="58"/>
        <v>0</v>
      </c>
      <c r="CG53" s="33">
        <f t="shared" si="58"/>
        <v>0</v>
      </c>
      <c r="CH53" s="33">
        <f t="shared" si="58"/>
        <v>0</v>
      </c>
      <c r="CI53" s="33">
        <f t="shared" si="58"/>
        <v>0</v>
      </c>
      <c r="CJ53" s="33">
        <f t="shared" si="58"/>
        <v>0</v>
      </c>
      <c r="CK53" s="33">
        <f t="shared" si="58"/>
        <v>0</v>
      </c>
      <c r="CL53" s="33" t="e">
        <f t="shared" si="59"/>
        <v>#N/A</v>
      </c>
      <c r="CM53" s="33" t="e">
        <f t="shared" si="59"/>
        <v>#N/A</v>
      </c>
      <c r="CN53" s="33">
        <f t="shared" si="59"/>
        <v>0</v>
      </c>
      <c r="CO53" s="33">
        <f t="shared" si="59"/>
        <v>0</v>
      </c>
      <c r="CP53" s="33">
        <f t="shared" si="59"/>
        <v>0</v>
      </c>
      <c r="CQ53" s="33">
        <f t="shared" si="59"/>
        <v>0</v>
      </c>
      <c r="CR53" s="33" t="e">
        <f t="shared" si="59"/>
        <v>#N/A</v>
      </c>
      <c r="CS53" s="33"/>
      <c r="CT53" s="33"/>
      <c r="CU53" s="33"/>
      <c r="CV53" s="33"/>
      <c r="CW53" s="33"/>
      <c r="CX53" s="33"/>
      <c r="CY53" s="33"/>
      <c r="CZ53" s="33"/>
      <c r="DA53" s="33"/>
      <c r="DD53" s="33"/>
      <c r="DE53" s="33"/>
      <c r="DF53" s="33"/>
      <c r="DG53" s="33"/>
      <c r="DH53" s="33"/>
      <c r="DI53" s="33"/>
      <c r="DJ53" s="33"/>
      <c r="DK53" s="33"/>
      <c r="DL53" s="33"/>
      <c r="DM53" s="33"/>
      <c r="DN53" s="33"/>
      <c r="DO53" s="33"/>
      <c r="DP53" s="33"/>
      <c r="DQ53" s="33"/>
      <c r="DR53" s="33"/>
      <c r="DS53" s="33"/>
      <c r="DT53" s="33"/>
      <c r="DU53" s="33"/>
      <c r="DV53" s="33"/>
    </row>
    <row r="54" spans="9:126">
      <c r="I54" s="34"/>
      <c r="J54" s="129"/>
      <c r="L54" s="34"/>
      <c r="M54" s="34"/>
      <c r="S54" s="68"/>
      <c r="T54" s="68"/>
      <c r="U54" s="68"/>
      <c r="V54" s="68"/>
      <c r="W54" s="68"/>
      <c r="X54" s="68"/>
      <c r="Y54" s="68"/>
      <c r="Z54" s="68"/>
      <c r="AA54" s="68"/>
      <c r="AB54" s="68"/>
      <c r="AC54" s="68"/>
      <c r="AD54" s="68"/>
      <c r="AE54" s="68"/>
      <c r="AF54" s="68"/>
      <c r="AG54" s="68"/>
      <c r="AI54" s="34" t="e">
        <f t="shared" si="10"/>
        <v>#VALUE!</v>
      </c>
      <c r="AJ54" t="e">
        <f t="shared" si="9"/>
        <v>#VALUE!</v>
      </c>
      <c r="AK54" s="151">
        <v>44616</v>
      </c>
      <c r="AL54" s="134">
        <f t="shared" si="11"/>
        <v>18800</v>
      </c>
      <c r="AM54" s="33">
        <v>223150</v>
      </c>
      <c r="AN54" s="132">
        <v>66</v>
      </c>
      <c r="AO54" s="33">
        <v>0.14000000000000001</v>
      </c>
      <c r="AP54" s="134">
        <v>18800</v>
      </c>
      <c r="AQ54" s="33">
        <v>17.82</v>
      </c>
      <c r="AR54" t="s">
        <v>502</v>
      </c>
      <c r="AS54" s="133">
        <v>1186.5</v>
      </c>
      <c r="AT54" s="33">
        <v>-0.86</v>
      </c>
      <c r="AU54" s="33">
        <v>7000</v>
      </c>
      <c r="AV54" s="33">
        <v>-3.12</v>
      </c>
      <c r="AW54" s="33">
        <v>11.91</v>
      </c>
      <c r="AX54" s="33">
        <v>2.3000000000000001E-4</v>
      </c>
      <c r="AZ54" s="143">
        <f t="shared" si="52"/>
        <v>20185.714285714286</v>
      </c>
      <c r="BA54" s="33">
        <f t="shared" si="46"/>
        <v>-1310685.714285715</v>
      </c>
      <c r="BB54" s="33"/>
      <c r="BC54" s="33">
        <f t="shared" si="47"/>
        <v>0</v>
      </c>
      <c r="BD54" s="33">
        <f t="shared" si="47"/>
        <v>0</v>
      </c>
      <c r="BE54" s="33">
        <f t="shared" si="47"/>
        <v>0</v>
      </c>
      <c r="BF54" s="33">
        <f t="shared" si="47"/>
        <v>0</v>
      </c>
      <c r="BG54" s="33">
        <f t="shared" si="47"/>
        <v>18000</v>
      </c>
      <c r="BH54" s="33">
        <f t="shared" si="47"/>
        <v>25500</v>
      </c>
      <c r="BI54" s="33">
        <f t="shared" si="47"/>
        <v>-13700</v>
      </c>
      <c r="BJ54" s="33">
        <f t="shared" si="57"/>
        <v>0</v>
      </c>
      <c r="BK54" s="33">
        <f t="shared" si="57"/>
        <v>0</v>
      </c>
      <c r="BL54" s="33">
        <f t="shared" si="57"/>
        <v>0</v>
      </c>
      <c r="BM54" s="33">
        <f t="shared" si="57"/>
        <v>0</v>
      </c>
      <c r="BN54" s="33">
        <f t="shared" si="57"/>
        <v>0</v>
      </c>
      <c r="BO54" s="33">
        <f t="shared" si="48"/>
        <v>0</v>
      </c>
      <c r="BP54" s="33">
        <f t="shared" si="48"/>
        <v>96085.714285714319</v>
      </c>
      <c r="BQ54" s="33">
        <f t="shared" si="48"/>
        <v>-1436571.4285714293</v>
      </c>
      <c r="BR54" s="33">
        <f t="shared" si="48"/>
        <v>0</v>
      </c>
      <c r="BS54" s="33">
        <f t="shared" si="48"/>
        <v>0</v>
      </c>
      <c r="BT54" s="33">
        <f t="shared" si="48"/>
        <v>0</v>
      </c>
      <c r="BU54" s="33" t="e">
        <f t="shared" si="48"/>
        <v>#N/A</v>
      </c>
      <c r="BW54" s="143">
        <f t="shared" si="53"/>
        <v>41421.428571428572</v>
      </c>
      <c r="BX54" s="33">
        <f t="shared" si="49"/>
        <v>0</v>
      </c>
      <c r="BY54" s="33"/>
      <c r="BZ54" s="33" t="e">
        <f t="shared" si="58"/>
        <v>#N/A</v>
      </c>
      <c r="CA54" s="33" t="e">
        <f t="shared" si="58"/>
        <v>#N/A</v>
      </c>
      <c r="CB54" s="33" t="e">
        <f t="shared" si="58"/>
        <v>#N/A</v>
      </c>
      <c r="CC54" s="33" t="e">
        <f t="shared" si="58"/>
        <v>#N/A</v>
      </c>
      <c r="CD54" s="33">
        <f t="shared" si="58"/>
        <v>0</v>
      </c>
      <c r="CE54" s="33">
        <f t="shared" si="58"/>
        <v>0</v>
      </c>
      <c r="CF54" s="33">
        <f t="shared" si="58"/>
        <v>0</v>
      </c>
      <c r="CG54" s="33">
        <f t="shared" si="58"/>
        <v>0</v>
      </c>
      <c r="CH54" s="33">
        <f t="shared" si="58"/>
        <v>0</v>
      </c>
      <c r="CI54" s="33">
        <f t="shared" si="58"/>
        <v>0</v>
      </c>
      <c r="CJ54" s="33">
        <f t="shared" si="58"/>
        <v>0</v>
      </c>
      <c r="CK54" s="33">
        <f t="shared" si="58"/>
        <v>0</v>
      </c>
      <c r="CL54" s="33" t="e">
        <f t="shared" si="59"/>
        <v>#N/A</v>
      </c>
      <c r="CM54" s="33" t="e">
        <f t="shared" si="59"/>
        <v>#N/A</v>
      </c>
      <c r="CN54" s="33">
        <f t="shared" si="59"/>
        <v>0</v>
      </c>
      <c r="CO54" s="33">
        <f t="shared" si="59"/>
        <v>0</v>
      </c>
      <c r="CP54" s="33">
        <f t="shared" si="59"/>
        <v>0</v>
      </c>
      <c r="CQ54" s="33">
        <f t="shared" si="59"/>
        <v>0</v>
      </c>
      <c r="CR54" s="33" t="e">
        <f t="shared" si="59"/>
        <v>#N/A</v>
      </c>
      <c r="CS54" s="33"/>
      <c r="CT54" s="33"/>
      <c r="CU54" s="33"/>
      <c r="CV54" s="33"/>
      <c r="CW54" s="33"/>
      <c r="CX54" s="33"/>
      <c r="CY54" s="33"/>
      <c r="CZ54" s="33"/>
      <c r="DA54" s="33"/>
      <c r="DD54" s="33"/>
      <c r="DE54" s="33"/>
      <c r="DF54" s="33"/>
      <c r="DG54" s="33"/>
      <c r="DH54" s="33"/>
      <c r="DI54" s="33"/>
      <c r="DJ54" s="33"/>
      <c r="DK54" s="33"/>
      <c r="DL54" s="33"/>
      <c r="DM54" s="33"/>
      <c r="DN54" s="33"/>
      <c r="DO54" s="33"/>
      <c r="DP54" s="33"/>
      <c r="DQ54" s="33"/>
      <c r="DR54" s="33"/>
      <c r="DS54" s="33"/>
      <c r="DT54" s="33"/>
      <c r="DU54" s="33"/>
      <c r="DV54" s="33"/>
    </row>
    <row r="55" spans="9:126">
      <c r="I55" s="34"/>
      <c r="J55" s="129"/>
      <c r="L55" s="34"/>
      <c r="M55" s="34"/>
      <c r="S55" s="68"/>
      <c r="T55" s="68"/>
      <c r="U55" s="68"/>
      <c r="V55" s="68"/>
      <c r="W55" s="68"/>
      <c r="X55" s="68"/>
      <c r="Y55" s="68"/>
      <c r="Z55" s="68"/>
      <c r="AA55" s="68"/>
      <c r="AB55" s="68"/>
      <c r="AC55" s="68"/>
      <c r="AD55" s="68"/>
      <c r="AE55" s="68"/>
      <c r="AF55" s="68"/>
      <c r="AG55" s="68"/>
      <c r="AI55" s="34" t="e">
        <f t="shared" si="10"/>
        <v>#VALUE!</v>
      </c>
      <c r="AJ55" t="e">
        <f t="shared" si="9"/>
        <v>#VALUE!</v>
      </c>
      <c r="AK55" s="151">
        <v>44616</v>
      </c>
      <c r="AL55" s="134">
        <f t="shared" si="11"/>
        <v>18850</v>
      </c>
      <c r="AM55" s="33">
        <v>47050</v>
      </c>
      <c r="AN55" s="132">
        <v>59.5</v>
      </c>
      <c r="AO55" s="33">
        <v>0.13</v>
      </c>
      <c r="AP55" s="134">
        <v>18850</v>
      </c>
      <c r="AQ55" s="33">
        <v>17.79</v>
      </c>
      <c r="AR55" t="s">
        <v>502</v>
      </c>
      <c r="AS55" s="133">
        <v>1154.1500000000001</v>
      </c>
      <c r="AT55" s="33">
        <v>-0.87</v>
      </c>
      <c r="AU55" s="33">
        <v>1150</v>
      </c>
      <c r="AV55" s="33">
        <v>-2.94</v>
      </c>
      <c r="AW55" s="33">
        <v>11.25</v>
      </c>
      <c r="AX55" s="33">
        <v>2.2000000000000001E-4</v>
      </c>
      <c r="AZ55" s="143"/>
      <c r="BA55" s="33"/>
      <c r="BB55" s="33"/>
      <c r="BC55" s="33"/>
      <c r="BD55" s="33"/>
      <c r="BE55" s="33"/>
      <c r="BF55" s="33"/>
      <c r="BG55" s="33"/>
      <c r="BH55" s="33"/>
      <c r="BI55" s="33"/>
      <c r="BJ55" s="33"/>
      <c r="BK55" s="33"/>
      <c r="BL55" s="33"/>
      <c r="BM55" s="33"/>
      <c r="BN55" s="33"/>
      <c r="BO55" s="33"/>
      <c r="BP55" s="33"/>
      <c r="BQ55" s="33"/>
      <c r="BR55" s="33"/>
      <c r="BS55" s="33"/>
      <c r="BT55" s="33"/>
      <c r="BU55" s="33"/>
      <c r="BW55" s="143"/>
      <c r="BX55" s="33"/>
      <c r="BY55" s="33"/>
      <c r="BZ55" s="33"/>
      <c r="CA55" s="33"/>
      <c r="CB55" s="33"/>
      <c r="CC55" s="33"/>
      <c r="CD55" s="33"/>
      <c r="CE55" s="33"/>
      <c r="CF55" s="33"/>
      <c r="CG55" s="33"/>
      <c r="CH55" s="33"/>
      <c r="CI55" s="33"/>
      <c r="CJ55" s="33"/>
      <c r="CK55" s="33"/>
      <c r="CL55" s="33"/>
      <c r="CM55" s="33"/>
      <c r="CN55" s="33"/>
      <c r="CO55" s="33"/>
      <c r="CP55" s="33"/>
      <c r="CQ55" s="33"/>
      <c r="CR55" s="33"/>
      <c r="CS55" s="33"/>
      <c r="CT55" s="33"/>
      <c r="CU55" s="33"/>
      <c r="CV55" s="33"/>
      <c r="CW55" s="33"/>
      <c r="CX55" s="33"/>
      <c r="CY55" s="33"/>
      <c r="CZ55" s="33"/>
      <c r="DA55" s="33"/>
      <c r="DD55" s="33"/>
      <c r="DE55" s="33"/>
      <c r="DF55" s="33"/>
      <c r="DG55" s="33"/>
      <c r="DH55" s="33"/>
      <c r="DI55" s="33"/>
      <c r="DJ55" s="33"/>
      <c r="DK55" s="33"/>
      <c r="DL55" s="33"/>
      <c r="DM55" s="33"/>
      <c r="DN55" s="33"/>
      <c r="DO55" s="33"/>
      <c r="DP55" s="33"/>
      <c r="DQ55" s="33"/>
      <c r="DR55" s="33"/>
      <c r="DS55" s="33"/>
      <c r="DT55" s="33"/>
      <c r="DU55" s="33"/>
      <c r="DV55" s="33"/>
    </row>
    <row r="56" spans="9:126">
      <c r="I56" s="34"/>
      <c r="J56" s="129"/>
      <c r="L56" s="34"/>
      <c r="M56" s="34"/>
      <c r="S56" s="68"/>
      <c r="T56" s="68"/>
      <c r="U56" s="68"/>
      <c r="V56" s="68"/>
      <c r="W56" s="68"/>
      <c r="X56" s="68"/>
      <c r="Y56" s="68"/>
      <c r="Z56" s="68"/>
      <c r="AA56" s="68"/>
      <c r="AB56" s="68"/>
      <c r="AC56" s="68"/>
      <c r="AD56" s="68"/>
      <c r="AE56" s="68"/>
      <c r="AF56" s="68"/>
      <c r="AG56" s="68"/>
      <c r="AI56" s="34" t="e">
        <f t="shared" si="10"/>
        <v>#VALUE!</v>
      </c>
      <c r="AJ56" t="e">
        <f t="shared" si="9"/>
        <v>#VALUE!</v>
      </c>
      <c r="AK56" s="151">
        <v>44616</v>
      </c>
      <c r="AL56" s="134">
        <f t="shared" si="11"/>
        <v>18900</v>
      </c>
      <c r="AM56" s="33">
        <v>148050</v>
      </c>
      <c r="AN56" s="132">
        <v>53.5</v>
      </c>
      <c r="AO56" s="33">
        <v>0.12</v>
      </c>
      <c r="AP56" s="134">
        <v>18900</v>
      </c>
      <c r="AQ56" s="33">
        <v>17.75</v>
      </c>
      <c r="AR56" t="s">
        <v>502</v>
      </c>
      <c r="AS56" s="133">
        <v>1239.45</v>
      </c>
      <c r="AT56" s="33">
        <v>-0.88</v>
      </c>
      <c r="AU56" s="33">
        <v>2600</v>
      </c>
      <c r="AV56" s="33">
        <v>-2.77</v>
      </c>
      <c r="AW56" s="33">
        <v>10.6</v>
      </c>
      <c r="AX56" s="33">
        <v>2.0000000000000001E-4</v>
      </c>
      <c r="AZ56" s="143"/>
      <c r="BA56" s="33"/>
      <c r="BB56" s="33"/>
      <c r="BC56" s="33"/>
      <c r="BD56" s="33"/>
      <c r="BE56" s="33"/>
      <c r="BF56" s="33"/>
      <c r="BG56" s="33"/>
      <c r="BH56" s="33"/>
      <c r="BI56" s="33"/>
      <c r="BJ56" s="33"/>
      <c r="BK56" s="33"/>
      <c r="BL56" s="33"/>
      <c r="BM56" s="33"/>
      <c r="BN56" s="33"/>
      <c r="BO56" s="33"/>
      <c r="BP56" s="33"/>
      <c r="BQ56" s="33"/>
      <c r="BR56" s="33"/>
      <c r="BS56" s="33"/>
      <c r="BT56" s="33"/>
      <c r="BU56" s="33"/>
      <c r="BW56" s="143"/>
      <c r="BX56" s="33"/>
      <c r="BY56" s="33"/>
      <c r="BZ56" s="33"/>
      <c r="CA56" s="33"/>
      <c r="CB56" s="33"/>
      <c r="CC56" s="33"/>
      <c r="CD56" s="33"/>
      <c r="CE56" s="33"/>
      <c r="CF56" s="33"/>
      <c r="CG56" s="33"/>
      <c r="CH56" s="33"/>
      <c r="CI56" s="33"/>
      <c r="CJ56" s="33"/>
      <c r="CK56" s="33"/>
      <c r="CL56" s="33"/>
      <c r="CM56" s="33"/>
      <c r="CN56" s="33"/>
      <c r="CO56" s="33"/>
      <c r="CP56" s="33"/>
      <c r="CQ56" s="33"/>
      <c r="CR56" s="33"/>
      <c r="CS56" s="33"/>
      <c r="CT56" s="33"/>
      <c r="CU56" s="33"/>
      <c r="CV56" s="33"/>
      <c r="CW56" s="33"/>
      <c r="CX56" s="33"/>
      <c r="CY56" s="33"/>
      <c r="CZ56" s="33"/>
      <c r="DA56" s="33"/>
      <c r="DD56" s="33"/>
      <c r="DE56" s="33"/>
      <c r="DF56" s="33"/>
      <c r="DG56" s="33"/>
      <c r="DH56" s="33"/>
      <c r="DI56" s="33"/>
      <c r="DJ56" s="33"/>
      <c r="DK56" s="33"/>
      <c r="DL56" s="33"/>
      <c r="DM56" s="33"/>
      <c r="DN56" s="33"/>
      <c r="DO56" s="33"/>
      <c r="DP56" s="33"/>
      <c r="DQ56" s="33"/>
      <c r="DR56" s="33"/>
      <c r="DS56" s="33"/>
      <c r="DT56" s="33"/>
      <c r="DU56" s="33"/>
      <c r="DV56" s="33"/>
    </row>
    <row r="57" spans="9:126">
      <c r="I57" s="34"/>
      <c r="J57" s="129"/>
      <c r="L57" s="34"/>
      <c r="M57" s="34"/>
      <c r="S57" s="68"/>
      <c r="T57" s="68"/>
      <c r="U57" s="68"/>
      <c r="V57" s="68"/>
      <c r="W57" s="68"/>
      <c r="X57" s="68"/>
      <c r="Y57" s="68"/>
      <c r="Z57" s="68"/>
      <c r="AA57" s="68"/>
      <c r="AB57" s="68"/>
      <c r="AC57" s="68"/>
      <c r="AD57" s="68"/>
      <c r="AE57" s="68"/>
      <c r="AF57" s="68"/>
      <c r="AG57" s="68"/>
      <c r="AI57" s="34" t="e">
        <f t="shared" si="10"/>
        <v>#VALUE!</v>
      </c>
      <c r="AJ57" t="e">
        <f t="shared" si="9"/>
        <v>#VALUE!</v>
      </c>
      <c r="AK57" s="151">
        <v>44616</v>
      </c>
      <c r="AL57" s="134">
        <f t="shared" si="11"/>
        <v>18950</v>
      </c>
      <c r="AM57" s="33">
        <v>6900</v>
      </c>
      <c r="AN57" s="132">
        <v>48</v>
      </c>
      <c r="AO57" s="33">
        <v>0.11</v>
      </c>
      <c r="AP57" s="134">
        <v>18950</v>
      </c>
      <c r="AQ57" s="33">
        <v>17.71</v>
      </c>
      <c r="AR57" t="s">
        <v>502</v>
      </c>
      <c r="AS57" s="133">
        <v>0</v>
      </c>
      <c r="AT57" s="33">
        <v>-0.89</v>
      </c>
      <c r="AU57" s="33">
        <v>0</v>
      </c>
      <c r="AV57" s="33">
        <v>-2.59</v>
      </c>
      <c r="AW57" s="33">
        <v>9.9499999999999993</v>
      </c>
      <c r="AX57" s="33">
        <v>1.9000000000000001E-4</v>
      </c>
      <c r="AZ57" s="143"/>
      <c r="BA57" s="33"/>
      <c r="BB57" s="33"/>
      <c r="BC57" s="33"/>
      <c r="BD57" s="33"/>
      <c r="BE57" s="33"/>
      <c r="BF57" s="33"/>
      <c r="BG57" s="33"/>
      <c r="BH57" s="33"/>
      <c r="BI57" s="33"/>
      <c r="BJ57" s="33"/>
      <c r="BK57" s="33"/>
      <c r="BL57" s="33"/>
      <c r="BM57" s="33"/>
      <c r="BN57" s="33"/>
      <c r="BO57" s="33"/>
      <c r="BP57" s="33"/>
      <c r="BQ57" s="33"/>
      <c r="BR57" s="33"/>
      <c r="BS57" s="33"/>
      <c r="BT57" s="33"/>
      <c r="BU57" s="33"/>
      <c r="BW57" s="143"/>
      <c r="BX57" s="33"/>
      <c r="BY57" s="33"/>
      <c r="BZ57" s="33"/>
      <c r="CA57" s="33"/>
      <c r="CB57" s="33"/>
      <c r="CC57" s="33"/>
      <c r="CD57" s="33"/>
      <c r="CE57" s="33"/>
      <c r="CF57" s="33"/>
      <c r="CG57" s="33"/>
      <c r="CH57" s="33"/>
      <c r="CI57" s="33"/>
      <c r="CJ57" s="33"/>
      <c r="CK57" s="33"/>
      <c r="CL57" s="33"/>
      <c r="CM57" s="33"/>
      <c r="CN57" s="33"/>
      <c r="CO57" s="33"/>
      <c r="CP57" s="33"/>
      <c r="CQ57" s="33"/>
      <c r="CR57" s="33"/>
      <c r="CS57" s="33"/>
      <c r="CT57" s="33"/>
      <c r="CU57" s="33"/>
      <c r="CV57" s="33"/>
      <c r="CW57" s="33"/>
      <c r="CX57" s="33"/>
      <c r="CY57" s="33"/>
      <c r="CZ57" s="33"/>
      <c r="DA57" s="33"/>
      <c r="DD57" s="33"/>
      <c r="DE57" s="33"/>
      <c r="DF57" s="33"/>
      <c r="DG57" s="33"/>
      <c r="DH57" s="33"/>
      <c r="DI57" s="33"/>
      <c r="DJ57" s="33"/>
      <c r="DK57" s="33"/>
      <c r="DL57" s="33"/>
      <c r="DM57" s="33"/>
      <c r="DN57" s="33"/>
      <c r="DO57" s="33"/>
      <c r="DP57" s="33"/>
      <c r="DQ57" s="33"/>
      <c r="DR57" s="33"/>
      <c r="DS57" s="33"/>
      <c r="DT57" s="33"/>
      <c r="DU57" s="33"/>
      <c r="DV57" s="33"/>
    </row>
    <row r="58" spans="9:126">
      <c r="I58" s="34"/>
      <c r="J58" s="129"/>
      <c r="L58" s="34"/>
      <c r="M58" s="34"/>
      <c r="S58" s="68"/>
      <c r="T58" s="68"/>
      <c r="U58" s="68"/>
      <c r="V58" s="68"/>
      <c r="W58" s="68"/>
      <c r="X58" s="68"/>
      <c r="Y58" s="68"/>
      <c r="Z58" s="68"/>
      <c r="AA58" s="68"/>
      <c r="AB58" s="68"/>
      <c r="AC58" s="68"/>
      <c r="AD58" s="68"/>
      <c r="AE58" s="68"/>
      <c r="AF58" s="68"/>
      <c r="AG58" s="68"/>
      <c r="AI58" s="34" t="e">
        <f t="shared" si="10"/>
        <v>#VALUE!</v>
      </c>
      <c r="AJ58" t="e">
        <f t="shared" si="9"/>
        <v>#VALUE!</v>
      </c>
      <c r="AK58" s="151">
        <v>44616</v>
      </c>
      <c r="AL58" s="134">
        <f t="shared" si="11"/>
        <v>19000</v>
      </c>
      <c r="AM58" s="33">
        <v>932900</v>
      </c>
      <c r="AN58" s="132">
        <v>45.7</v>
      </c>
      <c r="AO58" s="33">
        <v>0.1</v>
      </c>
      <c r="AP58" s="134">
        <v>19000</v>
      </c>
      <c r="AQ58" s="33">
        <v>17.96</v>
      </c>
      <c r="AR58" t="s">
        <v>502</v>
      </c>
      <c r="AS58" s="133">
        <v>1344.55</v>
      </c>
      <c r="AT58" s="33">
        <v>-0.9</v>
      </c>
      <c r="AU58" s="33">
        <v>138450</v>
      </c>
      <c r="AV58" s="33">
        <v>-2.5299999999999998</v>
      </c>
      <c r="AW58" s="33">
        <v>9.58</v>
      </c>
      <c r="AX58" s="33">
        <v>1.8000000000000001E-4</v>
      </c>
      <c r="AZ58" s="143"/>
      <c r="BA58" s="33"/>
      <c r="BB58" s="33"/>
      <c r="BC58" s="33"/>
      <c r="BD58" s="33"/>
      <c r="BE58" s="33"/>
      <c r="BF58" s="33"/>
      <c r="BG58" s="33"/>
      <c r="BH58" s="33"/>
      <c r="BI58" s="33"/>
      <c r="BJ58" s="33"/>
      <c r="BK58" s="33"/>
      <c r="BL58" s="33"/>
      <c r="BM58" s="33"/>
      <c r="BN58" s="33"/>
      <c r="BO58" s="33"/>
      <c r="BP58" s="33"/>
      <c r="BQ58" s="33"/>
      <c r="BR58" s="33"/>
      <c r="BS58" s="33"/>
      <c r="BT58" s="33"/>
      <c r="BU58" s="33"/>
      <c r="BW58" s="143"/>
      <c r="BX58" s="33"/>
      <c r="BY58" s="33"/>
      <c r="BZ58" s="33"/>
      <c r="CA58" s="33"/>
      <c r="CB58" s="33"/>
      <c r="CC58" s="33"/>
      <c r="CD58" s="33"/>
      <c r="CE58" s="33"/>
      <c r="CF58" s="33"/>
      <c r="CG58" s="33"/>
      <c r="CH58" s="33"/>
      <c r="CI58" s="33"/>
      <c r="CJ58" s="33"/>
      <c r="CK58" s="33"/>
      <c r="CL58" s="33"/>
      <c r="CM58" s="33"/>
      <c r="CN58" s="33"/>
      <c r="CO58" s="33"/>
      <c r="CP58" s="33"/>
      <c r="CQ58" s="33"/>
      <c r="CR58" s="33"/>
      <c r="CS58" s="33"/>
      <c r="CT58" s="33"/>
      <c r="CU58" s="33"/>
      <c r="CV58" s="33"/>
      <c r="CW58" s="33"/>
      <c r="CX58" s="33"/>
      <c r="CY58" s="33"/>
      <c r="CZ58" s="33"/>
      <c r="DA58" s="33"/>
      <c r="DD58" s="33"/>
      <c r="DE58" s="33"/>
      <c r="DF58" s="33"/>
      <c r="DG58" s="33"/>
      <c r="DH58" s="33"/>
      <c r="DI58" s="33"/>
      <c r="DJ58" s="33"/>
      <c r="DK58" s="33"/>
      <c r="DL58" s="33"/>
      <c r="DM58" s="33"/>
      <c r="DN58" s="33"/>
      <c r="DO58" s="33"/>
      <c r="DP58" s="33"/>
      <c r="DQ58" s="33"/>
      <c r="DR58" s="33"/>
      <c r="DS58" s="33"/>
      <c r="DT58" s="33"/>
      <c r="DU58" s="33"/>
      <c r="DV58" s="33"/>
    </row>
    <row r="59" spans="9:126">
      <c r="I59" s="34"/>
      <c r="J59" s="129"/>
      <c r="L59" s="34"/>
      <c r="M59" s="34"/>
      <c r="S59" s="69"/>
      <c r="T59" s="69"/>
      <c r="U59" s="69"/>
      <c r="V59" s="69"/>
      <c r="W59" s="69"/>
      <c r="X59" s="69"/>
      <c r="Y59" s="69"/>
      <c r="Z59" s="69"/>
      <c r="AA59" s="69"/>
      <c r="AB59" s="69"/>
      <c r="AC59" s="69"/>
      <c r="AD59" s="69"/>
      <c r="AE59" s="69"/>
      <c r="AF59" s="69"/>
      <c r="AG59" s="69"/>
      <c r="AI59" s="34" t="e">
        <f t="shared" si="10"/>
        <v>#VALUE!</v>
      </c>
      <c r="AJ59" t="e">
        <f t="shared" si="9"/>
        <v>#VALUE!</v>
      </c>
      <c r="AK59" s="151">
        <v>44616</v>
      </c>
      <c r="AL59" s="134">
        <f t="shared" si="11"/>
        <v>19050</v>
      </c>
      <c r="AM59" s="33">
        <v>2950</v>
      </c>
      <c r="AN59" s="132">
        <v>40.5</v>
      </c>
      <c r="AO59" s="33">
        <v>0.09</v>
      </c>
      <c r="AP59" s="134">
        <v>19050</v>
      </c>
      <c r="AQ59" s="33">
        <v>17.87</v>
      </c>
      <c r="AR59" t="s">
        <v>502</v>
      </c>
      <c r="AS59" s="133">
        <v>1319.25</v>
      </c>
      <c r="AT59" s="33">
        <v>-0.91</v>
      </c>
      <c r="AU59" s="33">
        <v>100</v>
      </c>
      <c r="AV59" s="33">
        <v>-2.34</v>
      </c>
      <c r="AW59" s="33">
        <v>8.92</v>
      </c>
      <c r="AX59" s="33">
        <v>1.7000000000000001E-4</v>
      </c>
      <c r="AZ59" s="143"/>
      <c r="BA59" s="33"/>
      <c r="BB59" s="33"/>
      <c r="BC59" s="33"/>
      <c r="BD59" s="33"/>
      <c r="BE59" s="33"/>
      <c r="BF59" s="33"/>
      <c r="BG59" s="33"/>
      <c r="BH59" s="33"/>
      <c r="BI59" s="33"/>
      <c r="BJ59" s="33"/>
      <c r="BK59" s="33"/>
      <c r="BL59" s="33"/>
      <c r="BM59" s="33"/>
      <c r="BN59" s="33"/>
      <c r="BO59" s="33"/>
      <c r="BP59" s="33"/>
      <c r="BQ59" s="33"/>
      <c r="BR59" s="33"/>
      <c r="BS59" s="33"/>
      <c r="BT59" s="33"/>
      <c r="BU59" s="33"/>
      <c r="BW59" s="143"/>
      <c r="BX59" s="33"/>
      <c r="BY59" s="33"/>
      <c r="BZ59" s="33"/>
      <c r="CA59" s="33"/>
      <c r="CB59" s="33"/>
      <c r="CC59" s="33"/>
      <c r="CD59" s="33"/>
      <c r="CE59" s="33"/>
      <c r="CF59" s="33"/>
      <c r="CG59" s="33"/>
      <c r="CH59" s="33"/>
      <c r="CI59" s="33"/>
      <c r="CJ59" s="33"/>
      <c r="CK59" s="33"/>
      <c r="CL59" s="33"/>
      <c r="CM59" s="33"/>
      <c r="CN59" s="33"/>
      <c r="CO59" s="33"/>
      <c r="CP59" s="33"/>
      <c r="CQ59" s="33"/>
      <c r="CR59" s="33"/>
      <c r="CS59" s="33"/>
      <c r="CT59" s="33"/>
      <c r="CU59" s="33"/>
      <c r="CV59" s="33"/>
      <c r="CW59" s="33"/>
      <c r="CX59" s="33"/>
      <c r="CY59" s="33"/>
      <c r="CZ59" s="33"/>
      <c r="DA59" s="33"/>
      <c r="DD59" s="33"/>
      <c r="DE59" s="33"/>
      <c r="DF59" s="33"/>
      <c r="DG59" s="33"/>
      <c r="DH59" s="33"/>
      <c r="DI59" s="33"/>
      <c r="DJ59" s="33"/>
      <c r="DK59" s="33"/>
      <c r="DL59" s="33"/>
      <c r="DM59" s="33"/>
      <c r="DN59" s="33"/>
      <c r="DO59" s="33"/>
      <c r="DP59" s="33"/>
      <c r="DQ59" s="33"/>
      <c r="DR59" s="33"/>
      <c r="DS59" s="33"/>
      <c r="DT59" s="33"/>
      <c r="DU59" s="33"/>
      <c r="DV59" s="33"/>
    </row>
    <row r="60" spans="9:126">
      <c r="I60" s="34"/>
      <c r="J60" s="129"/>
      <c r="L60" s="34"/>
      <c r="M60" s="34"/>
      <c r="S60" s="69"/>
      <c r="T60" s="69"/>
      <c r="U60" s="69"/>
      <c r="V60" s="69"/>
      <c r="W60" s="69"/>
      <c r="X60" s="69"/>
      <c r="Y60" s="69"/>
      <c r="Z60" s="69"/>
      <c r="AA60" s="69"/>
      <c r="AB60" s="69"/>
      <c r="AC60" s="69"/>
      <c r="AD60" s="69"/>
      <c r="AE60" s="69"/>
      <c r="AF60" s="69"/>
      <c r="AG60" s="69"/>
      <c r="AI60" s="34" t="e">
        <f t="shared" si="10"/>
        <v>#VALUE!</v>
      </c>
      <c r="AJ60" t="e">
        <f t="shared" si="9"/>
        <v>#VALUE!</v>
      </c>
      <c r="AK60" s="151">
        <v>44616</v>
      </c>
      <c r="AL60" s="134">
        <f t="shared" si="11"/>
        <v>19100</v>
      </c>
      <c r="AM60" s="33">
        <v>63850</v>
      </c>
      <c r="AN60" s="132">
        <v>37.65</v>
      </c>
      <c r="AO60" s="33">
        <v>0.09</v>
      </c>
      <c r="AP60" s="134">
        <v>19100</v>
      </c>
      <c r="AQ60" s="33">
        <v>18</v>
      </c>
      <c r="AR60" t="s">
        <v>502</v>
      </c>
      <c r="AS60" s="133">
        <v>1530</v>
      </c>
      <c r="AT60" s="33">
        <v>-0.91</v>
      </c>
      <c r="AU60" s="33">
        <v>2100</v>
      </c>
      <c r="AV60" s="33">
        <v>-2.25</v>
      </c>
      <c r="AW60" s="33">
        <v>8.49</v>
      </c>
      <c r="AX60" s="33">
        <v>1.6000000000000001E-4</v>
      </c>
      <c r="AZ60" s="143"/>
      <c r="BA60" s="33"/>
      <c r="BB60" s="33"/>
      <c r="BC60" s="33"/>
      <c r="BD60" s="33"/>
      <c r="BE60" s="33"/>
      <c r="BF60" s="33"/>
      <c r="BG60" s="33"/>
      <c r="BH60" s="33"/>
      <c r="BI60" s="33"/>
      <c r="BJ60" s="33"/>
      <c r="BK60" s="33"/>
      <c r="BL60" s="33"/>
      <c r="BM60" s="33"/>
      <c r="BN60" s="33"/>
      <c r="BO60" s="33"/>
      <c r="BP60" s="33"/>
      <c r="BQ60" s="33"/>
      <c r="BR60" s="33"/>
      <c r="BS60" s="33"/>
      <c r="BT60" s="33"/>
      <c r="BU60" s="33"/>
      <c r="BW60" s="143"/>
      <c r="BX60" s="33"/>
      <c r="BY60" s="33"/>
      <c r="BZ60" s="33"/>
      <c r="CA60" s="33"/>
      <c r="CB60" s="33"/>
      <c r="CC60" s="33"/>
      <c r="CD60" s="33"/>
      <c r="CE60" s="33"/>
      <c r="CF60" s="33"/>
      <c r="CG60" s="33"/>
      <c r="CH60" s="33"/>
      <c r="CI60" s="33"/>
      <c r="CJ60" s="33"/>
      <c r="CK60" s="33"/>
      <c r="CL60" s="33"/>
      <c r="CM60" s="33"/>
      <c r="CN60" s="33"/>
      <c r="CO60" s="33"/>
      <c r="CP60" s="33"/>
      <c r="CQ60" s="33"/>
      <c r="CR60" s="33"/>
      <c r="CS60" s="33"/>
      <c r="CT60" s="33"/>
      <c r="CU60" s="33"/>
      <c r="CV60" s="33"/>
      <c r="CW60" s="33"/>
      <c r="CX60" s="33"/>
      <c r="CY60" s="33"/>
      <c r="CZ60" s="33"/>
      <c r="DA60" s="33"/>
      <c r="DD60" s="33"/>
      <c r="DE60" s="33"/>
      <c r="DF60" s="33"/>
      <c r="DG60" s="33"/>
      <c r="DH60" s="33"/>
      <c r="DI60" s="33"/>
      <c r="DJ60" s="33"/>
      <c r="DK60" s="33"/>
      <c r="DL60" s="33"/>
      <c r="DM60" s="33"/>
      <c r="DN60" s="33"/>
      <c r="DO60" s="33"/>
      <c r="DP60" s="33"/>
      <c r="DQ60" s="33"/>
      <c r="DR60" s="33"/>
      <c r="DS60" s="33"/>
      <c r="DT60" s="33"/>
      <c r="DU60" s="33"/>
      <c r="DV60" s="33"/>
    </row>
    <row r="61" spans="9:126">
      <c r="I61" s="34"/>
      <c r="J61" s="129"/>
      <c r="L61" s="34"/>
      <c r="M61" s="34"/>
      <c r="S61" s="69"/>
      <c r="T61" s="69"/>
      <c r="U61" s="69"/>
      <c r="V61" s="69"/>
      <c r="W61" s="69"/>
      <c r="X61" s="69"/>
      <c r="Y61" s="69"/>
      <c r="Z61" s="69"/>
      <c r="AA61" s="69"/>
      <c r="AB61" s="69"/>
      <c r="AC61" s="69"/>
      <c r="AD61" s="69"/>
      <c r="AE61" s="69"/>
      <c r="AF61" s="69"/>
      <c r="AG61" s="69"/>
      <c r="AI61" s="34" t="e">
        <f t="shared" si="10"/>
        <v>#VALUE!</v>
      </c>
      <c r="AJ61" t="e">
        <f t="shared" si="9"/>
        <v>#VALUE!</v>
      </c>
      <c r="AK61" s="151">
        <v>44616</v>
      </c>
      <c r="AL61" s="134">
        <f t="shared" si="11"/>
        <v>19150</v>
      </c>
      <c r="AM61" s="33">
        <v>7100</v>
      </c>
      <c r="AN61" s="132">
        <v>31.15</v>
      </c>
      <c r="AO61" s="33">
        <v>7.0000000000000007E-2</v>
      </c>
      <c r="AP61" s="134">
        <v>19150</v>
      </c>
      <c r="AQ61" s="33">
        <v>17.649999999999999</v>
      </c>
      <c r="AR61" t="s">
        <v>502</v>
      </c>
      <c r="AS61" s="133">
        <v>0</v>
      </c>
      <c r="AT61" s="33">
        <v>-0.93</v>
      </c>
      <c r="AU61" s="33">
        <v>0</v>
      </c>
      <c r="AV61" s="33">
        <v>-1.98</v>
      </c>
      <c r="AW61" s="33">
        <v>7.61</v>
      </c>
      <c r="AX61" s="33">
        <v>1.4999999999999999E-4</v>
      </c>
      <c r="AZ61" s="143"/>
      <c r="BA61" s="33"/>
      <c r="BB61" s="33"/>
      <c r="BC61" s="33"/>
      <c r="BD61" s="33"/>
      <c r="BE61" s="33"/>
      <c r="BF61" s="33"/>
      <c r="BG61" s="33"/>
      <c r="BH61" s="33"/>
      <c r="BI61" s="33"/>
      <c r="BJ61" s="33"/>
      <c r="BK61" s="33"/>
      <c r="BL61" s="33"/>
      <c r="BM61" s="33"/>
      <c r="BN61" s="33"/>
      <c r="BO61" s="33"/>
      <c r="BP61" s="33"/>
      <c r="BQ61" s="33"/>
      <c r="BR61" s="33"/>
      <c r="BS61" s="33"/>
      <c r="BT61" s="33"/>
      <c r="BU61" s="33"/>
      <c r="BW61" s="143"/>
      <c r="BX61" s="33"/>
      <c r="BY61" s="33"/>
      <c r="BZ61" s="33"/>
      <c r="CA61" s="33"/>
      <c r="CB61" s="33"/>
      <c r="CC61" s="33"/>
      <c r="CD61" s="33"/>
      <c r="CE61" s="33"/>
      <c r="CF61" s="33"/>
      <c r="CG61" s="33"/>
      <c r="CH61" s="33"/>
      <c r="CI61" s="33"/>
      <c r="CJ61" s="33"/>
      <c r="CK61" s="33"/>
      <c r="CL61" s="33"/>
      <c r="CM61" s="33"/>
      <c r="CN61" s="33"/>
      <c r="CO61" s="33"/>
      <c r="CP61" s="33"/>
      <c r="CQ61" s="33"/>
      <c r="CR61" s="33"/>
      <c r="CS61" s="33"/>
      <c r="CT61" s="33"/>
      <c r="CU61" s="33"/>
      <c r="CV61" s="33"/>
      <c r="CW61" s="33"/>
      <c r="CX61" s="33"/>
      <c r="CY61" s="33"/>
      <c r="CZ61" s="33"/>
      <c r="DA61" s="33"/>
      <c r="DD61" s="33"/>
      <c r="DE61" s="33"/>
      <c r="DF61" s="33"/>
      <c r="DG61" s="33"/>
      <c r="DH61" s="33"/>
      <c r="DI61" s="33"/>
      <c r="DJ61" s="33"/>
      <c r="DK61" s="33"/>
      <c r="DL61" s="33"/>
      <c r="DM61" s="33"/>
      <c r="DN61" s="33"/>
      <c r="DO61" s="33"/>
      <c r="DP61" s="33"/>
      <c r="DQ61" s="33"/>
      <c r="DR61" s="33"/>
      <c r="DS61" s="33"/>
      <c r="DT61" s="33"/>
      <c r="DU61" s="33"/>
      <c r="DV61" s="33"/>
    </row>
    <row r="62" spans="9:126">
      <c r="I62" s="34"/>
      <c r="J62" s="129"/>
      <c r="L62" s="34"/>
      <c r="M62" s="34"/>
      <c r="S62" s="69"/>
      <c r="T62" s="69"/>
      <c r="U62" s="69"/>
      <c r="V62" s="69"/>
      <c r="W62" s="69"/>
      <c r="X62" s="69"/>
      <c r="Y62" s="69"/>
      <c r="Z62" s="69"/>
      <c r="AA62" s="69"/>
      <c r="AB62" s="69"/>
      <c r="AC62" s="69"/>
      <c r="AD62" s="69"/>
      <c r="AE62" s="69"/>
      <c r="AF62" s="69"/>
      <c r="AG62" s="69"/>
      <c r="AI62" s="34" t="e">
        <f t="shared" si="10"/>
        <v>#VALUE!</v>
      </c>
      <c r="AJ62" t="e">
        <f t="shared" si="9"/>
        <v>#VALUE!</v>
      </c>
      <c r="AK62" s="151">
        <v>44616</v>
      </c>
      <c r="AL62" s="134">
        <f t="shared" si="11"/>
        <v>19200</v>
      </c>
      <c r="AM62" s="33">
        <v>101800</v>
      </c>
      <c r="AN62" s="132">
        <v>28</v>
      </c>
      <c r="AO62" s="33">
        <v>7.0000000000000007E-2</v>
      </c>
      <c r="AP62" s="134">
        <v>19200</v>
      </c>
      <c r="AQ62" s="33">
        <v>17.66</v>
      </c>
      <c r="AR62" t="s">
        <v>502</v>
      </c>
      <c r="AS62" s="133">
        <v>1482.8</v>
      </c>
      <c r="AT62" s="33">
        <v>-0.93</v>
      </c>
      <c r="AU62" s="33">
        <v>2550</v>
      </c>
      <c r="AV62" s="33">
        <v>-1.84</v>
      </c>
      <c r="AW62" s="33">
        <v>7.1</v>
      </c>
      <c r="AX62" s="33">
        <v>1.3999999999999999E-4</v>
      </c>
      <c r="AZ62" s="143"/>
      <c r="BA62" s="33"/>
      <c r="BB62" s="33"/>
      <c r="BC62" s="33"/>
      <c r="BD62" s="33"/>
      <c r="BE62" s="33"/>
      <c r="BF62" s="33"/>
      <c r="BG62" s="33"/>
      <c r="BH62" s="33"/>
      <c r="BI62" s="33"/>
      <c r="BJ62" s="33"/>
      <c r="BK62" s="33"/>
      <c r="BL62" s="33"/>
      <c r="BM62" s="33"/>
      <c r="BN62" s="33"/>
      <c r="BO62" s="33"/>
      <c r="BP62" s="33"/>
      <c r="BQ62" s="33"/>
      <c r="BR62" s="33"/>
      <c r="BS62" s="33"/>
      <c r="BT62" s="33"/>
      <c r="BU62" s="33"/>
      <c r="BW62" s="143"/>
      <c r="BX62" s="33"/>
      <c r="BY62" s="33"/>
      <c r="BZ62" s="33"/>
      <c r="CA62" s="33"/>
      <c r="CB62" s="33"/>
      <c r="CC62" s="33"/>
      <c r="CD62" s="33"/>
      <c r="CE62" s="33"/>
      <c r="CF62" s="33"/>
      <c r="CG62" s="33"/>
      <c r="CH62" s="33"/>
      <c r="CI62" s="33"/>
      <c r="CJ62" s="33"/>
      <c r="CK62" s="33"/>
      <c r="CL62" s="33"/>
      <c r="CM62" s="33"/>
      <c r="CN62" s="33"/>
      <c r="CO62" s="33"/>
      <c r="CP62" s="33"/>
      <c r="CQ62" s="33"/>
      <c r="CR62" s="33"/>
      <c r="CS62" s="33"/>
      <c r="CT62" s="33"/>
      <c r="CU62" s="33"/>
      <c r="CV62" s="33"/>
      <c r="CW62" s="33"/>
      <c r="CX62" s="33"/>
      <c r="CY62" s="33"/>
      <c r="CZ62" s="33"/>
      <c r="DA62" s="33"/>
      <c r="DD62" s="33"/>
      <c r="DE62" s="33"/>
      <c r="DF62" s="33"/>
      <c r="DG62" s="33"/>
      <c r="DH62" s="33"/>
      <c r="DI62" s="33"/>
      <c r="DJ62" s="33"/>
      <c r="DK62" s="33"/>
      <c r="DL62" s="33"/>
      <c r="DM62" s="33"/>
      <c r="DN62" s="33"/>
      <c r="DO62" s="33"/>
      <c r="DP62" s="33"/>
      <c r="DQ62" s="33"/>
      <c r="DR62" s="33"/>
      <c r="DS62" s="33"/>
      <c r="DT62" s="33"/>
      <c r="DU62" s="33"/>
      <c r="DV62" s="33"/>
    </row>
    <row r="63" spans="9:126">
      <c r="AK63" s="151">
        <v>44616</v>
      </c>
      <c r="AL63" s="134">
        <f t="shared" si="11"/>
        <v>0</v>
      </c>
      <c r="AP63" s="134"/>
      <c r="AZ63" s="143"/>
      <c r="BA63" s="33"/>
      <c r="BB63" s="33"/>
      <c r="BC63" s="33"/>
      <c r="BD63" s="33"/>
      <c r="BE63" s="33"/>
      <c r="BF63" s="33"/>
      <c r="BG63" s="33"/>
      <c r="BH63" s="33"/>
      <c r="BI63" s="33"/>
      <c r="BJ63" s="33"/>
      <c r="BK63" s="33"/>
      <c r="BL63" s="33"/>
      <c r="BM63" s="33"/>
      <c r="BN63" s="33"/>
      <c r="BO63" s="33"/>
      <c r="BP63" s="33"/>
      <c r="BQ63" s="33"/>
      <c r="BR63" s="33"/>
      <c r="BS63" s="33"/>
      <c r="BT63" s="33"/>
      <c r="BU63" s="33"/>
      <c r="BW63" s="143"/>
      <c r="BX63" s="33"/>
      <c r="BY63" s="33"/>
      <c r="BZ63" s="33"/>
      <c r="CA63" s="33"/>
      <c r="CB63" s="33"/>
      <c r="CC63" s="33"/>
      <c r="CD63" s="33"/>
      <c r="CE63" s="33"/>
      <c r="CF63" s="33"/>
      <c r="CG63" s="33"/>
      <c r="CH63" s="33"/>
      <c r="CI63" s="33"/>
      <c r="CJ63" s="33"/>
      <c r="CK63" s="33"/>
      <c r="CL63" s="33"/>
      <c r="CM63" s="33"/>
      <c r="CN63" s="33"/>
      <c r="CO63" s="33"/>
      <c r="CP63" s="33"/>
      <c r="CQ63" s="33"/>
      <c r="CR63" s="33"/>
      <c r="CS63" s="33"/>
      <c r="CT63" s="33"/>
      <c r="CU63" s="33"/>
      <c r="CV63" s="33"/>
      <c r="CW63" s="33"/>
      <c r="CX63" s="33"/>
      <c r="CY63" s="33"/>
      <c r="CZ63" s="33"/>
      <c r="DA63" s="33"/>
      <c r="DD63" s="33"/>
      <c r="DE63" s="33"/>
      <c r="DF63" s="33"/>
      <c r="DG63" s="33"/>
      <c r="DH63" s="33"/>
      <c r="DI63" s="33"/>
      <c r="DJ63" s="33"/>
      <c r="DK63" s="33"/>
      <c r="DL63" s="33"/>
      <c r="DM63" s="33"/>
      <c r="DN63" s="33"/>
      <c r="DO63" s="33"/>
      <c r="DP63" s="33"/>
      <c r="DQ63" s="33"/>
      <c r="DR63" s="33"/>
      <c r="DS63" s="33"/>
      <c r="DT63" s="33"/>
      <c r="DU63" s="33"/>
      <c r="DV63" s="33"/>
    </row>
    <row r="64" spans="9:126">
      <c r="AK64" s="151">
        <v>44616</v>
      </c>
      <c r="AL64" s="134">
        <f t="shared" ref="AL64:AL123" si="60">AP64</f>
        <v>0</v>
      </c>
      <c r="AP64" s="134"/>
      <c r="AZ64" s="143"/>
      <c r="BA64" s="33"/>
      <c r="BB64" s="33"/>
      <c r="BC64" s="33"/>
      <c r="BD64" s="33"/>
      <c r="BE64" s="33"/>
      <c r="BF64" s="33"/>
      <c r="BG64" s="33"/>
      <c r="BH64" s="33"/>
      <c r="BI64" s="33"/>
      <c r="BJ64" s="33"/>
      <c r="BK64" s="33"/>
      <c r="BL64" s="33"/>
      <c r="BM64" s="33"/>
      <c r="BN64" s="33"/>
      <c r="BO64" s="33"/>
      <c r="BP64" s="33"/>
      <c r="BQ64" s="33"/>
      <c r="BR64" s="33"/>
      <c r="BS64" s="33"/>
      <c r="BT64" s="33"/>
      <c r="BU64" s="33"/>
      <c r="BW64" s="143"/>
      <c r="BX64" s="33"/>
      <c r="BY64" s="33"/>
      <c r="BZ64" s="33"/>
      <c r="CA64" s="33"/>
      <c r="CB64" s="33"/>
      <c r="CC64" s="33"/>
      <c r="CD64" s="33"/>
      <c r="CE64" s="33"/>
      <c r="CF64" s="33"/>
      <c r="CG64" s="33"/>
      <c r="CH64" s="33"/>
      <c r="CI64" s="33"/>
      <c r="CJ64" s="33"/>
      <c r="CK64" s="33"/>
      <c r="CL64" s="33"/>
      <c r="CM64" s="33"/>
      <c r="CN64" s="33"/>
      <c r="CO64" s="33"/>
      <c r="CP64" s="33"/>
      <c r="CQ64" s="33"/>
      <c r="CR64" s="33"/>
      <c r="CS64" s="33"/>
      <c r="CT64" s="33"/>
      <c r="CU64" s="33"/>
      <c r="CV64" s="33"/>
      <c r="CW64" s="33"/>
      <c r="CX64" s="33"/>
      <c r="CY64" s="33"/>
      <c r="CZ64" s="33"/>
      <c r="DA64" s="33"/>
      <c r="DD64" s="33"/>
      <c r="DE64" s="33"/>
      <c r="DF64" s="33"/>
      <c r="DG64" s="33"/>
      <c r="DH64" s="33"/>
      <c r="DI64" s="33"/>
      <c r="DJ64" s="33"/>
      <c r="DK64" s="33"/>
      <c r="DL64" s="33"/>
      <c r="DM64" s="33"/>
      <c r="DN64" s="33"/>
      <c r="DO64" s="33"/>
      <c r="DP64" s="33"/>
      <c r="DQ64" s="33"/>
      <c r="DR64" s="33"/>
      <c r="DS64" s="33"/>
      <c r="DT64" s="33"/>
      <c r="DU64" s="33"/>
      <c r="DV64" s="33"/>
    </row>
    <row r="65" spans="37:96">
      <c r="AK65" s="151">
        <v>44616</v>
      </c>
      <c r="AL65" s="134">
        <f t="shared" si="60"/>
        <v>0</v>
      </c>
      <c r="AP65" s="134"/>
      <c r="AZ65" s="143"/>
      <c r="BA65" s="33"/>
      <c r="BB65" s="33"/>
      <c r="BC65" s="33"/>
      <c r="BD65" s="33"/>
      <c r="BE65" s="33"/>
      <c r="BF65" s="33"/>
      <c r="BG65" s="33"/>
      <c r="BH65" s="33"/>
      <c r="BI65" s="33"/>
      <c r="BJ65" s="33"/>
      <c r="BK65" s="33"/>
      <c r="BL65" s="33"/>
      <c r="BM65" s="33"/>
      <c r="BN65" s="33"/>
      <c r="BO65" s="33"/>
      <c r="BP65" s="33"/>
      <c r="BQ65" s="33"/>
      <c r="BR65" s="33"/>
      <c r="BS65" s="33"/>
      <c r="BT65" s="33"/>
      <c r="BU65" s="33"/>
      <c r="BW65" s="143"/>
      <c r="BX65" s="33"/>
      <c r="BY65" s="33"/>
      <c r="BZ65" s="33"/>
      <c r="CA65" s="33"/>
      <c r="CB65" s="33"/>
      <c r="CC65" s="33"/>
      <c r="CD65" s="33"/>
      <c r="CE65" s="33"/>
      <c r="CF65" s="33"/>
      <c r="CG65" s="33"/>
      <c r="CH65" s="33"/>
      <c r="CI65" s="33"/>
      <c r="CJ65" s="33"/>
      <c r="CK65" s="33"/>
      <c r="CL65" s="33"/>
      <c r="CM65" s="33"/>
      <c r="CN65" s="33"/>
      <c r="CO65" s="33"/>
      <c r="CP65" s="33"/>
      <c r="CQ65" s="33"/>
      <c r="CR65" s="33"/>
    </row>
    <row r="66" spans="37:96">
      <c r="AK66" s="151">
        <v>44616</v>
      </c>
      <c r="AL66" s="134">
        <f t="shared" si="60"/>
        <v>0</v>
      </c>
      <c r="AP66" s="134"/>
    </row>
    <row r="67" spans="37:96">
      <c r="AK67" s="151">
        <v>44616</v>
      </c>
      <c r="AL67" s="134">
        <f t="shared" si="60"/>
        <v>0</v>
      </c>
      <c r="AP67" s="134"/>
    </row>
    <row r="68" spans="37:96">
      <c r="AK68" s="151">
        <v>44616</v>
      </c>
      <c r="AL68" s="134">
        <f t="shared" si="60"/>
        <v>0</v>
      </c>
      <c r="AP68" s="134"/>
    </row>
    <row r="69" spans="37:96">
      <c r="AK69" s="151">
        <v>44616</v>
      </c>
      <c r="AL69" s="134">
        <f t="shared" si="60"/>
        <v>0</v>
      </c>
      <c r="AP69" s="134"/>
    </row>
    <row r="70" spans="37:96">
      <c r="AK70" s="151">
        <v>44616</v>
      </c>
      <c r="AL70" s="134">
        <f t="shared" si="60"/>
        <v>0</v>
      </c>
      <c r="AP70" s="134"/>
    </row>
    <row r="71" spans="37:96">
      <c r="AK71" s="151">
        <v>44616</v>
      </c>
      <c r="AL71" s="134">
        <f t="shared" si="60"/>
        <v>0</v>
      </c>
      <c r="AP71" s="134"/>
    </row>
    <row r="72" spans="37:96">
      <c r="AK72" s="151">
        <v>44616</v>
      </c>
      <c r="AL72" s="134">
        <f t="shared" si="60"/>
        <v>0</v>
      </c>
      <c r="AP72" s="134"/>
    </row>
    <row r="73" spans="37:96">
      <c r="AK73" s="151">
        <v>44616</v>
      </c>
      <c r="AL73" s="134">
        <f t="shared" si="60"/>
        <v>0</v>
      </c>
      <c r="AP73" s="134"/>
    </row>
    <row r="74" spans="37:96">
      <c r="AK74" s="151">
        <v>44616</v>
      </c>
      <c r="AL74" s="134">
        <f t="shared" si="60"/>
        <v>0</v>
      </c>
      <c r="AP74" s="134"/>
    </row>
    <row r="75" spans="37:96">
      <c r="AK75" s="151">
        <v>44616</v>
      </c>
      <c r="AL75" s="134">
        <f t="shared" si="60"/>
        <v>0</v>
      </c>
      <c r="AP75" s="134"/>
    </row>
    <row r="76" spans="37:96">
      <c r="AK76" s="151">
        <v>44616</v>
      </c>
      <c r="AL76" s="134">
        <f t="shared" si="60"/>
        <v>0</v>
      </c>
      <c r="AP76" s="134"/>
    </row>
    <row r="77" spans="37:96">
      <c r="AK77" s="151">
        <v>44616</v>
      </c>
      <c r="AL77" s="134">
        <f t="shared" si="60"/>
        <v>0</v>
      </c>
      <c r="AP77" s="134"/>
    </row>
    <row r="78" spans="37:96">
      <c r="AK78" s="151">
        <v>44616</v>
      </c>
      <c r="AL78" s="134">
        <f t="shared" si="60"/>
        <v>0</v>
      </c>
      <c r="AP78" s="134"/>
    </row>
    <row r="79" spans="37:96">
      <c r="AK79" s="151">
        <v>44616</v>
      </c>
      <c r="AL79" s="134">
        <f t="shared" si="60"/>
        <v>0</v>
      </c>
      <c r="AP79" s="134"/>
    </row>
    <row r="80" spans="37:96">
      <c r="AK80" s="151">
        <v>44616</v>
      </c>
      <c r="AL80" s="134">
        <f t="shared" si="60"/>
        <v>0</v>
      </c>
      <c r="AP80" s="134"/>
    </row>
    <row r="81" spans="37:42">
      <c r="AK81" s="151">
        <v>44616</v>
      </c>
      <c r="AL81" s="134">
        <f t="shared" si="60"/>
        <v>0</v>
      </c>
      <c r="AP81" s="134"/>
    </row>
    <row r="82" spans="37:42">
      <c r="AK82" s="151">
        <v>44616</v>
      </c>
      <c r="AL82" s="134">
        <f t="shared" si="60"/>
        <v>0</v>
      </c>
      <c r="AP82" s="134"/>
    </row>
    <row r="83" spans="37:42">
      <c r="AK83" s="151">
        <v>44616</v>
      </c>
      <c r="AL83" s="134">
        <f t="shared" si="60"/>
        <v>0</v>
      </c>
      <c r="AP83" s="134"/>
    </row>
    <row r="84" spans="37:42">
      <c r="AK84" s="151">
        <v>44616</v>
      </c>
      <c r="AL84" s="134">
        <f t="shared" si="60"/>
        <v>0</v>
      </c>
      <c r="AP84" s="134"/>
    </row>
    <row r="85" spans="37:42">
      <c r="AK85" s="151">
        <v>44616</v>
      </c>
      <c r="AL85" s="134">
        <f t="shared" si="60"/>
        <v>0</v>
      </c>
      <c r="AP85" s="134"/>
    </row>
    <row r="86" spans="37:42">
      <c r="AK86" s="151">
        <v>44616</v>
      </c>
      <c r="AL86" s="134">
        <f t="shared" si="60"/>
        <v>0</v>
      </c>
      <c r="AP86" s="134"/>
    </row>
    <row r="87" spans="37:42">
      <c r="AK87" s="151">
        <v>44616</v>
      </c>
      <c r="AL87" s="134">
        <f t="shared" si="60"/>
        <v>0</v>
      </c>
      <c r="AP87" s="134"/>
    </row>
    <row r="88" spans="37:42">
      <c r="AK88" s="151">
        <v>44616</v>
      </c>
      <c r="AL88" s="134">
        <f t="shared" si="60"/>
        <v>0</v>
      </c>
      <c r="AP88" s="134"/>
    </row>
    <row r="89" spans="37:42">
      <c r="AK89" s="151">
        <v>44616</v>
      </c>
      <c r="AL89" s="134">
        <f t="shared" si="60"/>
        <v>0</v>
      </c>
      <c r="AP89" s="134"/>
    </row>
    <row r="90" spans="37:42">
      <c r="AK90" s="151">
        <v>44616</v>
      </c>
      <c r="AL90" s="134">
        <f t="shared" si="60"/>
        <v>0</v>
      </c>
      <c r="AP90" s="134"/>
    </row>
    <row r="91" spans="37:42">
      <c r="AK91" s="151">
        <v>44616</v>
      </c>
      <c r="AL91" s="134">
        <f t="shared" si="60"/>
        <v>0</v>
      </c>
      <c r="AP91" s="134"/>
    </row>
    <row r="92" spans="37:42">
      <c r="AK92" s="151">
        <v>44616</v>
      </c>
      <c r="AL92" s="134">
        <f t="shared" si="60"/>
        <v>0</v>
      </c>
      <c r="AP92" s="134"/>
    </row>
    <row r="93" spans="37:42">
      <c r="AK93" s="151">
        <v>44616</v>
      </c>
      <c r="AL93" s="134">
        <f t="shared" si="60"/>
        <v>0</v>
      </c>
      <c r="AP93" s="134"/>
    </row>
    <row r="94" spans="37:42">
      <c r="AK94" s="151">
        <v>44616</v>
      </c>
      <c r="AL94" s="134">
        <f t="shared" si="60"/>
        <v>0</v>
      </c>
      <c r="AP94" s="134"/>
    </row>
    <row r="95" spans="37:42">
      <c r="AK95" s="151">
        <v>44616</v>
      </c>
      <c r="AL95" s="134">
        <f t="shared" si="60"/>
        <v>0</v>
      </c>
      <c r="AP95" s="134"/>
    </row>
    <row r="96" spans="37:42">
      <c r="AK96" s="151">
        <v>44616</v>
      </c>
      <c r="AL96" s="134">
        <f t="shared" si="60"/>
        <v>0</v>
      </c>
      <c r="AP96" s="134"/>
    </row>
    <row r="97" spans="37:42">
      <c r="AK97" s="151">
        <v>44616</v>
      </c>
      <c r="AL97" s="134">
        <f t="shared" si="60"/>
        <v>0</v>
      </c>
      <c r="AP97" s="134"/>
    </row>
    <row r="98" spans="37:42">
      <c r="AK98" s="151">
        <v>44616</v>
      </c>
      <c r="AL98" s="134">
        <f t="shared" si="60"/>
        <v>0</v>
      </c>
      <c r="AP98" s="134"/>
    </row>
    <row r="99" spans="37:42">
      <c r="AK99" s="151">
        <v>44616</v>
      </c>
      <c r="AL99" s="134">
        <f t="shared" si="60"/>
        <v>0</v>
      </c>
      <c r="AP99" s="134"/>
    </row>
    <row r="100" spans="37:42">
      <c r="AK100" s="151">
        <v>44616</v>
      </c>
      <c r="AL100" s="134">
        <f t="shared" si="60"/>
        <v>0</v>
      </c>
      <c r="AP100" s="134"/>
    </row>
    <row r="101" spans="37:42">
      <c r="AK101" s="151">
        <v>44616</v>
      </c>
      <c r="AL101" s="134">
        <f t="shared" si="60"/>
        <v>0</v>
      </c>
      <c r="AP101" s="134"/>
    </row>
    <row r="102" spans="37:42">
      <c r="AK102" s="151">
        <v>44616</v>
      </c>
      <c r="AL102" s="134">
        <f t="shared" si="60"/>
        <v>0</v>
      </c>
      <c r="AP102" s="134"/>
    </row>
    <row r="103" spans="37:42">
      <c r="AK103" s="151">
        <v>44616</v>
      </c>
      <c r="AL103" s="134">
        <f t="shared" si="60"/>
        <v>0</v>
      </c>
      <c r="AP103" s="134"/>
    </row>
    <row r="104" spans="37:42">
      <c r="AK104" s="151">
        <v>44616</v>
      </c>
      <c r="AL104" s="134">
        <f t="shared" si="60"/>
        <v>0</v>
      </c>
      <c r="AP104" s="134"/>
    </row>
    <row r="105" spans="37:42">
      <c r="AK105" s="151">
        <v>44616</v>
      </c>
      <c r="AL105" s="134">
        <f t="shared" si="60"/>
        <v>0</v>
      </c>
      <c r="AP105" s="134"/>
    </row>
    <row r="106" spans="37:42">
      <c r="AK106" s="151">
        <v>44616</v>
      </c>
      <c r="AL106" s="134">
        <f t="shared" si="60"/>
        <v>0</v>
      </c>
      <c r="AP106" s="134"/>
    </row>
    <row r="107" spans="37:42">
      <c r="AK107" s="151">
        <v>44616</v>
      </c>
      <c r="AL107" s="134">
        <f t="shared" si="60"/>
        <v>0</v>
      </c>
      <c r="AP107" s="134"/>
    </row>
    <row r="108" spans="37:42">
      <c r="AK108" s="151">
        <v>44616</v>
      </c>
      <c r="AL108" s="134">
        <f t="shared" si="60"/>
        <v>0</v>
      </c>
      <c r="AP108" s="134"/>
    </row>
    <row r="109" spans="37:42">
      <c r="AK109" s="151">
        <v>44616</v>
      </c>
      <c r="AL109" s="134">
        <f t="shared" si="60"/>
        <v>0</v>
      </c>
      <c r="AP109" s="134"/>
    </row>
    <row r="110" spans="37:42">
      <c r="AK110" s="151">
        <v>44616</v>
      </c>
      <c r="AL110" s="134">
        <f t="shared" si="60"/>
        <v>0</v>
      </c>
      <c r="AP110" s="134"/>
    </row>
    <row r="111" spans="37:42">
      <c r="AK111" s="151">
        <v>44616</v>
      </c>
      <c r="AL111" s="134">
        <f t="shared" si="60"/>
        <v>0</v>
      </c>
      <c r="AP111" s="134"/>
    </row>
    <row r="112" spans="37:42">
      <c r="AK112" s="151">
        <v>44616</v>
      </c>
      <c r="AL112" s="134">
        <f t="shared" si="60"/>
        <v>0</v>
      </c>
      <c r="AP112" s="134"/>
    </row>
    <row r="113" spans="37:42">
      <c r="AK113" s="151">
        <v>44616</v>
      </c>
      <c r="AL113" s="134">
        <f t="shared" si="60"/>
        <v>0</v>
      </c>
      <c r="AP113" s="134"/>
    </row>
    <row r="114" spans="37:42">
      <c r="AK114" s="151">
        <v>44616</v>
      </c>
      <c r="AL114" s="134">
        <f t="shared" si="60"/>
        <v>0</v>
      </c>
      <c r="AP114" s="134"/>
    </row>
    <row r="115" spans="37:42">
      <c r="AK115" s="151">
        <v>44616</v>
      </c>
      <c r="AL115" s="134">
        <f t="shared" si="60"/>
        <v>0</v>
      </c>
      <c r="AP115" s="134"/>
    </row>
    <row r="116" spans="37:42">
      <c r="AK116" s="151">
        <v>44616</v>
      </c>
      <c r="AL116" s="134">
        <f t="shared" si="60"/>
        <v>0</v>
      </c>
      <c r="AP116" s="134"/>
    </row>
    <row r="117" spans="37:42">
      <c r="AK117" s="151">
        <v>44616</v>
      </c>
      <c r="AL117" s="134">
        <f t="shared" si="60"/>
        <v>0</v>
      </c>
      <c r="AP117" s="134"/>
    </row>
    <row r="118" spans="37:42">
      <c r="AK118" s="151">
        <v>44616</v>
      </c>
      <c r="AL118" s="134">
        <f t="shared" si="60"/>
        <v>0</v>
      </c>
      <c r="AP118" s="134"/>
    </row>
    <row r="119" spans="37:42">
      <c r="AK119" s="151">
        <v>44616</v>
      </c>
      <c r="AL119" s="134">
        <f t="shared" si="60"/>
        <v>0</v>
      </c>
      <c r="AP119" s="134"/>
    </row>
    <row r="120" spans="37:42">
      <c r="AK120" s="151">
        <v>44616</v>
      </c>
      <c r="AL120" s="134">
        <f t="shared" si="60"/>
        <v>0</v>
      </c>
      <c r="AP120" s="134"/>
    </row>
    <row r="121" spans="37:42">
      <c r="AK121" s="151">
        <v>44616</v>
      </c>
      <c r="AL121" s="134">
        <f t="shared" si="60"/>
        <v>0</v>
      </c>
      <c r="AP121" s="134"/>
    </row>
    <row r="122" spans="37:42">
      <c r="AK122" s="151">
        <v>44616</v>
      </c>
      <c r="AL122" s="134">
        <f t="shared" si="60"/>
        <v>0</v>
      </c>
      <c r="AP122" s="134"/>
    </row>
    <row r="123" spans="37:42">
      <c r="AK123" s="151">
        <v>44616</v>
      </c>
      <c r="AL123" s="134">
        <f t="shared" si="60"/>
        <v>0</v>
      </c>
      <c r="AP123" s="134"/>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S66"/>
  <sheetViews>
    <sheetView zoomScale="85" zoomScaleNormal="85" workbookViewId="0">
      <pane ySplit="1" topLeftCell="A2" activePane="bottomLeft" state="frozen"/>
      <selection activeCell="C1" sqref="C1"/>
      <selection pane="bottomLeft" activeCell="K23" sqref="K23"/>
    </sheetView>
  </sheetViews>
  <sheetFormatPr defaultRowHeight="15"/>
  <cols>
    <col min="11" max="11" width="9.140625" style="32"/>
    <col min="24" max="24" width="16.5703125" bestFit="1" customWidth="1"/>
    <col min="29" max="29" width="11.7109375" bestFit="1" customWidth="1"/>
    <col min="31" max="31" width="14.42578125" bestFit="1" customWidth="1"/>
    <col min="33" max="33" width="11.7109375" bestFit="1" customWidth="1"/>
    <col min="38" max="38" width="13.5703125" bestFit="1" customWidth="1"/>
    <col min="40" max="40" width="10.85546875" bestFit="1" customWidth="1"/>
    <col min="41" max="41" width="13.5703125" bestFit="1" customWidth="1"/>
    <col min="42" max="42" width="10.28515625" bestFit="1" customWidth="1"/>
    <col min="45" max="45" width="10.28515625" bestFit="1" customWidth="1"/>
  </cols>
  <sheetData>
    <row r="1" spans="1:45">
      <c r="A1" t="s">
        <v>682</v>
      </c>
      <c r="B1" t="s">
        <v>683</v>
      </c>
      <c r="C1" t="s">
        <v>684</v>
      </c>
      <c r="D1" t="s">
        <v>71</v>
      </c>
      <c r="E1" t="s">
        <v>685</v>
      </c>
      <c r="F1" t="s">
        <v>686</v>
      </c>
      <c r="G1" t="s">
        <v>687</v>
      </c>
      <c r="H1" t="s">
        <v>688</v>
      </c>
      <c r="I1" t="s">
        <v>689</v>
      </c>
      <c r="J1" t="s">
        <v>690</v>
      </c>
      <c r="K1" s="32" t="s">
        <v>691</v>
      </c>
      <c r="L1" t="s">
        <v>687</v>
      </c>
      <c r="M1" t="s">
        <v>688</v>
      </c>
      <c r="N1" t="s">
        <v>689</v>
      </c>
      <c r="O1" t="s">
        <v>690</v>
      </c>
      <c r="P1" t="s">
        <v>686</v>
      </c>
      <c r="Q1" t="s">
        <v>685</v>
      </c>
      <c r="R1" t="s">
        <v>71</v>
      </c>
      <c r="S1" t="s">
        <v>684</v>
      </c>
      <c r="T1" t="s">
        <v>683</v>
      </c>
      <c r="U1" t="s">
        <v>682</v>
      </c>
      <c r="AB1" s="131" t="s">
        <v>22</v>
      </c>
      <c r="AC1" s="131" t="s">
        <v>562</v>
      </c>
      <c r="AD1" s="135">
        <f>AVERAGE(AH2:AS2)-2000</f>
        <v>-1580</v>
      </c>
      <c r="AE1" s="131" t="s">
        <v>704</v>
      </c>
      <c r="AF1" s="135"/>
      <c r="AG1" s="131"/>
      <c r="AH1" s="131" t="s">
        <v>588</v>
      </c>
      <c r="AI1" s="131" t="s">
        <v>589</v>
      </c>
      <c r="AJ1" s="131" t="s">
        <v>590</v>
      </c>
      <c r="AK1" s="131" t="s">
        <v>591</v>
      </c>
      <c r="AL1" s="131" t="s">
        <v>592</v>
      </c>
      <c r="AN1" s="131"/>
      <c r="AO1" s="131" t="s">
        <v>598</v>
      </c>
      <c r="AP1" s="131" t="s">
        <v>599</v>
      </c>
      <c r="AQ1" s="131" t="s">
        <v>600</v>
      </c>
      <c r="AR1" s="131" t="s">
        <v>601</v>
      </c>
      <c r="AS1" s="131" t="s">
        <v>595</v>
      </c>
    </row>
    <row r="2" spans="1:45">
      <c r="A2" t="s">
        <v>692</v>
      </c>
      <c r="B2" t="s">
        <v>692</v>
      </c>
      <c r="C2" t="s">
        <v>692</v>
      </c>
      <c r="D2" t="s">
        <v>692</v>
      </c>
      <c r="E2" t="s">
        <v>692</v>
      </c>
      <c r="F2" t="s">
        <v>692</v>
      </c>
      <c r="G2" s="178">
        <v>48000</v>
      </c>
      <c r="H2">
        <v>132.05000000000001</v>
      </c>
      <c r="I2">
        <v>180.2</v>
      </c>
      <c r="J2" s="178">
        <v>48000</v>
      </c>
      <c r="K2" s="32">
        <v>280</v>
      </c>
      <c r="L2" s="178" t="s">
        <v>692</v>
      </c>
      <c r="M2" t="s">
        <v>692</v>
      </c>
      <c r="N2" t="s">
        <v>692</v>
      </c>
      <c r="O2" s="178" t="s">
        <v>692</v>
      </c>
      <c r="P2" t="s">
        <v>692</v>
      </c>
      <c r="Q2" t="s">
        <v>692</v>
      </c>
      <c r="R2" t="s">
        <v>692</v>
      </c>
      <c r="S2" t="s">
        <v>692</v>
      </c>
      <c r="T2" t="s">
        <v>692</v>
      </c>
      <c r="U2" t="s">
        <v>692</v>
      </c>
      <c r="X2" t="s">
        <v>21</v>
      </c>
      <c r="Y2" t="s">
        <v>284</v>
      </c>
      <c r="AB2" s="33">
        <v>100</v>
      </c>
      <c r="AC2" s="33" t="s">
        <v>563</v>
      </c>
      <c r="AD2" s="33"/>
      <c r="AE2" s="33"/>
      <c r="AF2" s="33"/>
      <c r="AG2" s="33"/>
      <c r="AH2" s="129"/>
      <c r="AI2" s="129"/>
      <c r="AJ2" s="129"/>
      <c r="AK2" s="129"/>
      <c r="AL2" s="129">
        <v>400</v>
      </c>
      <c r="AN2" s="129"/>
      <c r="AO2" s="129">
        <v>440</v>
      </c>
      <c r="AP2" s="129"/>
      <c r="AQ2" s="129"/>
      <c r="AR2" s="129"/>
      <c r="AS2" s="129"/>
    </row>
    <row r="3" spans="1:45">
      <c r="A3" t="s">
        <v>692</v>
      </c>
      <c r="B3" t="s">
        <v>692</v>
      </c>
      <c r="C3" t="s">
        <v>692</v>
      </c>
      <c r="D3" t="s">
        <v>692</v>
      </c>
      <c r="E3" t="s">
        <v>692</v>
      </c>
      <c r="F3" t="s">
        <v>692</v>
      </c>
      <c r="G3" s="178">
        <v>48000</v>
      </c>
      <c r="H3">
        <v>123.85</v>
      </c>
      <c r="I3">
        <v>168.5</v>
      </c>
      <c r="J3" s="178">
        <v>48000</v>
      </c>
      <c r="K3" s="32">
        <v>290</v>
      </c>
      <c r="L3" s="178" t="s">
        <v>692</v>
      </c>
      <c r="M3" t="s">
        <v>692</v>
      </c>
      <c r="N3" t="s">
        <v>692</v>
      </c>
      <c r="O3" s="178" t="s">
        <v>692</v>
      </c>
      <c r="P3" t="s">
        <v>692</v>
      </c>
      <c r="Q3" t="s">
        <v>692</v>
      </c>
      <c r="R3" t="s">
        <v>692</v>
      </c>
      <c r="S3" t="s">
        <v>692</v>
      </c>
      <c r="T3" t="s">
        <v>692</v>
      </c>
      <c r="U3" t="s">
        <v>692</v>
      </c>
      <c r="X3" t="s">
        <v>693</v>
      </c>
      <c r="Y3">
        <v>413.23</v>
      </c>
      <c r="AB3" s="33" t="s">
        <v>603</v>
      </c>
      <c r="AC3" s="33"/>
      <c r="AD3" s="33"/>
      <c r="AE3" s="33"/>
      <c r="AF3" s="33"/>
      <c r="AG3" s="33"/>
      <c r="AH3" s="129">
        <f ca="1">VLOOKUP(AH2,$AH:$AL,8,0)</f>
        <v>0</v>
      </c>
      <c r="AI3" s="129">
        <f ca="1">VLOOKUP(AI2,$AH:$AL,8,0)</f>
        <v>0</v>
      </c>
      <c r="AJ3" s="129">
        <f ca="1">VLOOKUP(AJ2,$AH:$AL,8,0)</f>
        <v>0</v>
      </c>
      <c r="AK3" s="129">
        <f ca="1">VLOOKUP(AK2,$AH:$AL,8,0)</f>
        <v>0</v>
      </c>
      <c r="AL3" s="129" t="e">
        <f ca="1">VLOOKUP(AL2,$AH:$AL,8,0)</f>
        <v>#N/A</v>
      </c>
      <c r="AM3" s="129"/>
      <c r="AN3" s="129"/>
      <c r="AO3" s="129">
        <f ca="1">VLOOKUP(AO2,$AH:$AL,3,0)</f>
        <v>28</v>
      </c>
      <c r="AP3" s="129"/>
      <c r="AQ3" s="129"/>
      <c r="AR3" s="129"/>
      <c r="AS3" s="129"/>
    </row>
    <row r="4" spans="1:45">
      <c r="A4" t="s">
        <v>692</v>
      </c>
      <c r="B4" t="s">
        <v>692</v>
      </c>
      <c r="C4" t="s">
        <v>692</v>
      </c>
      <c r="D4" t="s">
        <v>692</v>
      </c>
      <c r="E4" t="s">
        <v>692</v>
      </c>
      <c r="F4" t="s">
        <v>692</v>
      </c>
      <c r="G4" s="178">
        <v>48000</v>
      </c>
      <c r="H4">
        <v>116.5</v>
      </c>
      <c r="I4">
        <v>156.9</v>
      </c>
      <c r="J4" s="178">
        <v>48000</v>
      </c>
      <c r="K4" s="32">
        <v>300</v>
      </c>
      <c r="L4" s="178" t="s">
        <v>692</v>
      </c>
      <c r="M4" t="s">
        <v>692</v>
      </c>
      <c r="N4" t="s">
        <v>692</v>
      </c>
      <c r="O4" s="178" t="s">
        <v>692</v>
      </c>
      <c r="P4" t="s">
        <v>692</v>
      </c>
      <c r="Q4" t="s">
        <v>692</v>
      </c>
      <c r="R4" t="s">
        <v>692</v>
      </c>
      <c r="S4" s="178" t="s">
        <v>692</v>
      </c>
      <c r="T4" t="s">
        <v>692</v>
      </c>
      <c r="U4" t="s">
        <v>692</v>
      </c>
      <c r="X4" t="s">
        <v>694</v>
      </c>
      <c r="Y4">
        <v>1425</v>
      </c>
      <c r="AB4" t="s">
        <v>602</v>
      </c>
      <c r="AE4">
        <v>413.23</v>
      </c>
      <c r="AH4" s="33"/>
      <c r="AI4" s="33"/>
      <c r="AJ4" s="33"/>
      <c r="AK4" s="33"/>
      <c r="AL4" s="33">
        <v>9.4</v>
      </c>
      <c r="AM4" s="33"/>
      <c r="AN4" s="33"/>
      <c r="AO4" s="33">
        <v>4.53</v>
      </c>
      <c r="AP4" s="33"/>
      <c r="AQ4" s="33"/>
      <c r="AR4" s="33"/>
      <c r="AS4" s="33"/>
    </row>
    <row r="5" spans="1:45">
      <c r="A5" t="s">
        <v>692</v>
      </c>
      <c r="B5" t="s">
        <v>692</v>
      </c>
      <c r="C5" t="s">
        <v>692</v>
      </c>
      <c r="D5" t="s">
        <v>692</v>
      </c>
      <c r="E5" t="s">
        <v>692</v>
      </c>
      <c r="F5" t="s">
        <v>692</v>
      </c>
      <c r="G5" s="178">
        <v>48000</v>
      </c>
      <c r="H5">
        <v>106.9</v>
      </c>
      <c r="I5">
        <v>146</v>
      </c>
      <c r="J5" s="178">
        <v>48000</v>
      </c>
      <c r="K5" s="32">
        <v>310</v>
      </c>
      <c r="L5" s="178" t="s">
        <v>692</v>
      </c>
      <c r="M5" t="s">
        <v>692</v>
      </c>
      <c r="N5" t="s">
        <v>692</v>
      </c>
      <c r="O5" s="178" t="s">
        <v>692</v>
      </c>
      <c r="P5" t="s">
        <v>692</v>
      </c>
      <c r="Q5" t="s">
        <v>692</v>
      </c>
      <c r="R5" t="s">
        <v>692</v>
      </c>
      <c r="S5" t="s">
        <v>692</v>
      </c>
      <c r="T5" t="s">
        <v>692</v>
      </c>
      <c r="U5" t="s">
        <v>692</v>
      </c>
      <c r="X5" t="s">
        <v>695</v>
      </c>
      <c r="Y5">
        <v>2</v>
      </c>
      <c r="AB5" t="s">
        <v>3</v>
      </c>
      <c r="AC5" s="33"/>
      <c r="AE5">
        <v>2</v>
      </c>
      <c r="AH5" s="33"/>
      <c r="AI5" s="129"/>
      <c r="AJ5" s="129"/>
      <c r="AK5" s="129"/>
      <c r="AL5" s="129">
        <v>2</v>
      </c>
      <c r="AM5" s="129"/>
      <c r="AN5" s="129"/>
      <c r="AO5" s="129">
        <v>-2</v>
      </c>
      <c r="AP5" s="129"/>
      <c r="AQ5" s="129"/>
      <c r="AR5" s="129"/>
      <c r="AS5" s="129"/>
    </row>
    <row r="6" spans="1:45">
      <c r="A6" t="s">
        <v>692</v>
      </c>
      <c r="B6" t="s">
        <v>692</v>
      </c>
      <c r="C6" t="s">
        <v>692</v>
      </c>
      <c r="D6" t="s">
        <v>692</v>
      </c>
      <c r="E6" t="s">
        <v>692</v>
      </c>
      <c r="F6" t="s">
        <v>692</v>
      </c>
      <c r="G6" s="178">
        <v>48000</v>
      </c>
      <c r="H6">
        <v>97.75</v>
      </c>
      <c r="I6">
        <v>134.6</v>
      </c>
      <c r="J6" s="178">
        <v>48000</v>
      </c>
      <c r="K6" s="32">
        <v>320</v>
      </c>
      <c r="L6" s="178" t="s">
        <v>692</v>
      </c>
      <c r="M6" t="s">
        <v>692</v>
      </c>
      <c r="N6" t="s">
        <v>692</v>
      </c>
      <c r="O6" s="178" t="s">
        <v>692</v>
      </c>
      <c r="P6" t="s">
        <v>692</v>
      </c>
      <c r="Q6" t="s">
        <v>692</v>
      </c>
      <c r="R6" t="s">
        <v>692</v>
      </c>
      <c r="S6" s="178" t="s">
        <v>692</v>
      </c>
      <c r="T6" t="s">
        <v>692</v>
      </c>
      <c r="U6" t="s">
        <v>692</v>
      </c>
      <c r="X6" t="s">
        <v>696</v>
      </c>
      <c r="Y6">
        <v>50000</v>
      </c>
      <c r="AB6" t="s">
        <v>117</v>
      </c>
      <c r="AC6" s="33">
        <f>SUM(AH6:AS6)</f>
        <v>0</v>
      </c>
      <c r="AH6" s="129">
        <f t="shared" ref="AH6:AL6" si="0">67000*AH5/50</f>
        <v>0</v>
      </c>
      <c r="AI6" s="129">
        <f t="shared" si="0"/>
        <v>0</v>
      </c>
      <c r="AJ6" s="129">
        <f t="shared" si="0"/>
        <v>0</v>
      </c>
      <c r="AK6" s="129">
        <f t="shared" si="0"/>
        <v>0</v>
      </c>
      <c r="AL6" s="129">
        <f t="shared" si="0"/>
        <v>2680</v>
      </c>
      <c r="AM6" s="129"/>
      <c r="AN6" s="129"/>
      <c r="AO6" s="129">
        <f t="shared" ref="AO6" si="1">67000*AO5/50</f>
        <v>-2680</v>
      </c>
      <c r="AP6" s="129"/>
      <c r="AQ6" s="129"/>
      <c r="AS6" s="129"/>
    </row>
    <row r="7" spans="1:45">
      <c r="A7" t="s">
        <v>692</v>
      </c>
      <c r="B7" t="s">
        <v>692</v>
      </c>
      <c r="C7" t="s">
        <v>692</v>
      </c>
      <c r="D7" t="s">
        <v>692</v>
      </c>
      <c r="E7" t="s">
        <v>692</v>
      </c>
      <c r="F7" t="s">
        <v>692</v>
      </c>
      <c r="G7" s="178">
        <v>48000</v>
      </c>
      <c r="H7">
        <v>90.2</v>
      </c>
      <c r="I7">
        <v>122.85</v>
      </c>
      <c r="J7" s="178">
        <v>48000</v>
      </c>
      <c r="K7" s="32">
        <v>330</v>
      </c>
      <c r="L7" s="178" t="s">
        <v>692</v>
      </c>
      <c r="M7" t="s">
        <v>692</v>
      </c>
      <c r="N7" t="s">
        <v>692</v>
      </c>
      <c r="O7" s="178" t="s">
        <v>692</v>
      </c>
      <c r="P7" t="s">
        <v>692</v>
      </c>
      <c r="Q7" t="s">
        <v>692</v>
      </c>
      <c r="R7" t="s">
        <v>692</v>
      </c>
      <c r="S7" s="178" t="s">
        <v>692</v>
      </c>
      <c r="T7" t="s">
        <v>692</v>
      </c>
      <c r="U7" t="s">
        <v>692</v>
      </c>
      <c r="AH7" s="33"/>
      <c r="AS7" s="129"/>
    </row>
    <row r="8" spans="1:45">
      <c r="A8" t="s">
        <v>692</v>
      </c>
      <c r="B8" t="s">
        <v>692</v>
      </c>
      <c r="C8" t="s">
        <v>692</v>
      </c>
      <c r="D8" t="s">
        <v>692</v>
      </c>
      <c r="E8" t="s">
        <v>692</v>
      </c>
      <c r="F8" t="s">
        <v>692</v>
      </c>
      <c r="G8" s="178">
        <v>48000</v>
      </c>
      <c r="H8">
        <v>78.3</v>
      </c>
      <c r="I8">
        <v>112.8</v>
      </c>
      <c r="J8" s="178">
        <v>48000</v>
      </c>
      <c r="K8" s="32">
        <v>340</v>
      </c>
      <c r="L8" s="178">
        <v>24000</v>
      </c>
      <c r="M8">
        <v>0.05</v>
      </c>
      <c r="N8">
        <v>12</v>
      </c>
      <c r="O8" s="178">
        <v>4800</v>
      </c>
      <c r="P8" t="s">
        <v>692</v>
      </c>
      <c r="Q8" t="s">
        <v>692</v>
      </c>
      <c r="R8" t="s">
        <v>692</v>
      </c>
      <c r="S8" s="178" t="s">
        <v>692</v>
      </c>
      <c r="T8" t="s">
        <v>692</v>
      </c>
      <c r="U8" t="s">
        <v>692</v>
      </c>
      <c r="X8" t="s">
        <v>697</v>
      </c>
      <c r="Y8">
        <v>4.53</v>
      </c>
      <c r="AC8" t="s">
        <v>565</v>
      </c>
      <c r="AE8" t="s">
        <v>703</v>
      </c>
      <c r="AG8" t="s">
        <v>705</v>
      </c>
      <c r="AH8" s="33" t="s">
        <v>558</v>
      </c>
      <c r="AI8" s="33" t="s">
        <v>559</v>
      </c>
      <c r="AJ8" s="33" t="s">
        <v>559</v>
      </c>
      <c r="AK8" s="33" t="s">
        <v>559</v>
      </c>
      <c r="AL8" s="33" t="s">
        <v>559</v>
      </c>
      <c r="AM8" s="33"/>
      <c r="AN8" s="33" t="s">
        <v>706</v>
      </c>
      <c r="AO8" s="33" t="s">
        <v>560</v>
      </c>
      <c r="AP8" s="33" t="s">
        <v>560</v>
      </c>
      <c r="AQ8" s="33" t="s">
        <v>560</v>
      </c>
      <c r="AR8" s="33" t="s">
        <v>560</v>
      </c>
      <c r="AS8" s="33" t="s">
        <v>561</v>
      </c>
    </row>
    <row r="9" spans="1:45">
      <c r="A9" t="s">
        <v>692</v>
      </c>
      <c r="B9" t="s">
        <v>692</v>
      </c>
      <c r="C9" t="s">
        <v>692</v>
      </c>
      <c r="D9" t="s">
        <v>692</v>
      </c>
      <c r="E9" t="s">
        <v>692</v>
      </c>
      <c r="F9" t="s">
        <v>692</v>
      </c>
      <c r="G9" s="178">
        <v>48000</v>
      </c>
      <c r="H9">
        <v>70.650000000000006</v>
      </c>
      <c r="I9">
        <v>96.4</v>
      </c>
      <c r="J9" s="178">
        <v>48000</v>
      </c>
      <c r="K9" s="32">
        <v>350</v>
      </c>
      <c r="L9" s="178">
        <v>1600</v>
      </c>
      <c r="M9">
        <v>0.15</v>
      </c>
      <c r="N9">
        <v>7</v>
      </c>
      <c r="O9" s="178">
        <v>1600</v>
      </c>
      <c r="P9" t="s">
        <v>692</v>
      </c>
      <c r="Q9" t="s">
        <v>692</v>
      </c>
      <c r="R9" t="s">
        <v>692</v>
      </c>
      <c r="S9" s="178" t="s">
        <v>692</v>
      </c>
      <c r="T9" t="s">
        <v>692</v>
      </c>
      <c r="U9" s="178" t="s">
        <v>692</v>
      </c>
      <c r="X9" t="s">
        <v>698</v>
      </c>
      <c r="Y9">
        <v>440</v>
      </c>
      <c r="AB9">
        <v>350</v>
      </c>
      <c r="AC9" s="33">
        <f>SUM(AE9,AG9,AN9)</f>
        <v>-51585.000000000058</v>
      </c>
      <c r="AD9" s="33"/>
      <c r="AE9" s="33">
        <f t="shared" ref="AE9:AE30" si="2">(AB9-$AE$4)*$Y$4*$Y$5</f>
        <v>-180205.50000000006</v>
      </c>
      <c r="AF9" s="33"/>
      <c r="AG9" s="33">
        <f>SUMIF(AH9:AL9,"&lt;&gt;#N/A")</f>
        <v>115710</v>
      </c>
      <c r="AH9" s="33"/>
      <c r="AI9" s="33"/>
      <c r="AJ9" s="33"/>
      <c r="AK9" s="33"/>
      <c r="AL9" s="33">
        <f t="shared" ref="AL9:AL30" si="3">$Y$4*$AL$5*(MAX($AL$2-AB9,0)-$AL$4)</f>
        <v>115710</v>
      </c>
      <c r="AM9" s="33"/>
      <c r="AN9" s="33">
        <f>SUMIF(AO9:AS9,"&lt;&gt;#N/A")</f>
        <v>12910.5</v>
      </c>
      <c r="AO9" s="33">
        <f t="shared" ref="AO9:AO30" si="4">$Y$4*$AO$5*(MAX(AB9-$AO$2,0)-$AO$4)</f>
        <v>12910.5</v>
      </c>
      <c r="AP9" s="33"/>
      <c r="AQ9" s="33"/>
      <c r="AR9" s="33"/>
      <c r="AS9" s="33"/>
    </row>
    <row r="10" spans="1:45">
      <c r="A10" t="s">
        <v>692</v>
      </c>
      <c r="B10" t="s">
        <v>692</v>
      </c>
      <c r="C10" t="s">
        <v>692</v>
      </c>
      <c r="D10" t="s">
        <v>692</v>
      </c>
      <c r="E10" t="s">
        <v>692</v>
      </c>
      <c r="F10" t="s">
        <v>692</v>
      </c>
      <c r="G10" s="178">
        <v>48000</v>
      </c>
      <c r="H10">
        <v>61.15</v>
      </c>
      <c r="I10">
        <v>102.55</v>
      </c>
      <c r="J10" s="178">
        <v>48000</v>
      </c>
      <c r="K10" s="32">
        <v>360</v>
      </c>
      <c r="L10" s="178">
        <v>9600</v>
      </c>
      <c r="M10">
        <v>1</v>
      </c>
      <c r="N10" t="s">
        <v>692</v>
      </c>
      <c r="O10" s="178" t="s">
        <v>692</v>
      </c>
      <c r="P10" t="s">
        <v>692</v>
      </c>
      <c r="Q10" t="s">
        <v>692</v>
      </c>
      <c r="R10" t="s">
        <v>692</v>
      </c>
      <c r="S10" s="178" t="s">
        <v>692</v>
      </c>
      <c r="T10" t="s">
        <v>692</v>
      </c>
      <c r="U10" s="178" t="s">
        <v>692</v>
      </c>
      <c r="X10" t="s">
        <v>699</v>
      </c>
      <c r="Y10">
        <v>-2</v>
      </c>
      <c r="AB10">
        <f>AB9+5</f>
        <v>355</v>
      </c>
      <c r="AC10" s="33">
        <f t="shared" ref="AC10:AC30" si="5">SUM(AE10,AG10,AN10)</f>
        <v>-51585.000000000058</v>
      </c>
      <c r="AD10" s="33"/>
      <c r="AE10" s="33">
        <f t="shared" si="2"/>
        <v>-165955.50000000006</v>
      </c>
      <c r="AF10" s="33"/>
      <c r="AG10" s="33">
        <f t="shared" ref="AG10:AG30" si="6">SUMIF(AH10:AL10,"&lt;&gt;#N/A")</f>
        <v>101460</v>
      </c>
      <c r="AH10" s="33"/>
      <c r="AI10" s="33"/>
      <c r="AJ10" s="33"/>
      <c r="AK10" s="33"/>
      <c r="AL10" s="33">
        <f t="shared" si="3"/>
        <v>101460</v>
      </c>
      <c r="AM10" s="33"/>
      <c r="AN10" s="33">
        <f t="shared" ref="AN10:AN30" si="7">SUMIF(AO10:AS10,"&lt;&gt;#N/A")</f>
        <v>12910.5</v>
      </c>
      <c r="AO10" s="33">
        <f t="shared" si="4"/>
        <v>12910.5</v>
      </c>
      <c r="AP10" s="33"/>
      <c r="AQ10" s="33"/>
      <c r="AR10" s="33"/>
      <c r="AS10" s="33"/>
    </row>
    <row r="11" spans="1:45">
      <c r="A11" t="s">
        <v>692</v>
      </c>
      <c r="B11" t="s">
        <v>692</v>
      </c>
      <c r="C11" s="178" t="s">
        <v>692</v>
      </c>
      <c r="D11" t="s">
        <v>692</v>
      </c>
      <c r="E11" t="s">
        <v>692</v>
      </c>
      <c r="F11" t="s">
        <v>692</v>
      </c>
      <c r="G11" s="178">
        <v>48000</v>
      </c>
      <c r="H11">
        <v>51.85</v>
      </c>
      <c r="I11">
        <v>96.75</v>
      </c>
      <c r="J11" s="178">
        <v>48000</v>
      </c>
      <c r="K11" s="32">
        <v>370</v>
      </c>
      <c r="L11" s="178">
        <v>1600</v>
      </c>
      <c r="M11">
        <v>1</v>
      </c>
      <c r="N11">
        <v>24.1</v>
      </c>
      <c r="O11" s="178">
        <v>1600</v>
      </c>
      <c r="P11" t="s">
        <v>692</v>
      </c>
      <c r="Q11" t="s">
        <v>692</v>
      </c>
      <c r="R11" t="s">
        <v>692</v>
      </c>
      <c r="S11" s="178" t="s">
        <v>692</v>
      </c>
      <c r="T11" t="s">
        <v>692</v>
      </c>
      <c r="U11" s="178" t="s">
        <v>692</v>
      </c>
      <c r="AB11">
        <f t="shared" ref="AB11:AB30" si="8">AB10+5</f>
        <v>360</v>
      </c>
      <c r="AC11" s="33">
        <f t="shared" si="5"/>
        <v>-51585.000000000058</v>
      </c>
      <c r="AD11" s="33"/>
      <c r="AE11" s="33">
        <f t="shared" si="2"/>
        <v>-151705.50000000006</v>
      </c>
      <c r="AF11" s="33"/>
      <c r="AG11" s="33">
        <f t="shared" si="6"/>
        <v>87210</v>
      </c>
      <c r="AH11" s="33"/>
      <c r="AI11" s="33"/>
      <c r="AJ11" s="33"/>
      <c r="AK11" s="33"/>
      <c r="AL11" s="33">
        <f t="shared" si="3"/>
        <v>87210</v>
      </c>
      <c r="AM11" s="33"/>
      <c r="AN11" s="33">
        <f t="shared" si="7"/>
        <v>12910.5</v>
      </c>
      <c r="AO11" s="33">
        <f t="shared" si="4"/>
        <v>12910.5</v>
      </c>
      <c r="AP11" s="33"/>
      <c r="AQ11" s="33"/>
      <c r="AR11" s="33"/>
      <c r="AS11" s="33"/>
    </row>
    <row r="12" spans="1:45">
      <c r="A12" t="s">
        <v>692</v>
      </c>
      <c r="B12" t="s">
        <v>692</v>
      </c>
      <c r="C12" s="178">
        <v>1</v>
      </c>
      <c r="D12" t="s">
        <v>692</v>
      </c>
      <c r="E12">
        <v>50.6</v>
      </c>
      <c r="F12">
        <v>-77.2</v>
      </c>
      <c r="G12" s="178">
        <v>3200</v>
      </c>
      <c r="H12">
        <v>47.45</v>
      </c>
      <c r="I12">
        <v>71.900000000000006</v>
      </c>
      <c r="J12" s="178">
        <v>48000</v>
      </c>
      <c r="K12" s="32">
        <v>380</v>
      </c>
      <c r="L12" s="178">
        <v>1600</v>
      </c>
      <c r="M12">
        <v>5.5</v>
      </c>
      <c r="N12">
        <v>11.3</v>
      </c>
      <c r="O12" s="178">
        <v>1600</v>
      </c>
      <c r="P12" t="s">
        <v>692</v>
      </c>
      <c r="Q12">
        <v>10</v>
      </c>
      <c r="R12">
        <v>52.31</v>
      </c>
      <c r="S12" s="178">
        <v>18</v>
      </c>
      <c r="T12" s="178">
        <v>12</v>
      </c>
      <c r="U12" s="178">
        <v>16</v>
      </c>
      <c r="X12" t="s">
        <v>700</v>
      </c>
      <c r="Y12">
        <v>9.4</v>
      </c>
      <c r="AB12">
        <f t="shared" si="8"/>
        <v>365</v>
      </c>
      <c r="AC12" s="33">
        <f t="shared" si="5"/>
        <v>-51585.000000000058</v>
      </c>
      <c r="AD12" s="33"/>
      <c r="AE12" s="33">
        <f t="shared" si="2"/>
        <v>-137455.50000000006</v>
      </c>
      <c r="AF12" s="33"/>
      <c r="AG12" s="33">
        <f t="shared" si="6"/>
        <v>72960</v>
      </c>
      <c r="AH12" s="33"/>
      <c r="AI12" s="33"/>
      <c r="AJ12" s="33"/>
      <c r="AK12" s="33"/>
      <c r="AL12" s="33">
        <f t="shared" si="3"/>
        <v>72960</v>
      </c>
      <c r="AM12" s="33"/>
      <c r="AN12" s="33">
        <f t="shared" si="7"/>
        <v>12910.5</v>
      </c>
      <c r="AO12" s="33">
        <f t="shared" si="4"/>
        <v>12910.5</v>
      </c>
      <c r="AP12" s="33"/>
      <c r="AQ12" s="33"/>
      <c r="AR12" s="33"/>
      <c r="AS12" s="33"/>
    </row>
    <row r="13" spans="1:45">
      <c r="A13">
        <v>1</v>
      </c>
      <c r="B13" t="s">
        <v>692</v>
      </c>
      <c r="C13" s="178" t="s">
        <v>692</v>
      </c>
      <c r="D13" t="s">
        <v>692</v>
      </c>
      <c r="E13" t="s">
        <v>692</v>
      </c>
      <c r="F13" t="s">
        <v>692</v>
      </c>
      <c r="G13" s="178">
        <v>1600</v>
      </c>
      <c r="H13">
        <v>36.299999999999997</v>
      </c>
      <c r="I13">
        <v>89.75</v>
      </c>
      <c r="J13" s="178">
        <v>1600</v>
      </c>
      <c r="K13" s="32">
        <v>390</v>
      </c>
      <c r="L13" s="178">
        <v>1600</v>
      </c>
      <c r="M13">
        <v>9.6</v>
      </c>
      <c r="N13" t="s">
        <v>692</v>
      </c>
      <c r="O13" s="178" t="s">
        <v>692</v>
      </c>
      <c r="P13" t="s">
        <v>692</v>
      </c>
      <c r="Q13" t="s">
        <v>692</v>
      </c>
      <c r="R13" t="s">
        <v>692</v>
      </c>
      <c r="S13" s="178" t="s">
        <v>692</v>
      </c>
      <c r="T13" t="s">
        <v>692</v>
      </c>
      <c r="U13" s="178">
        <v>3</v>
      </c>
      <c r="X13" t="s">
        <v>701</v>
      </c>
      <c r="Y13">
        <v>400</v>
      </c>
      <c r="AB13">
        <f t="shared" si="8"/>
        <v>370</v>
      </c>
      <c r="AC13" s="33">
        <f t="shared" si="5"/>
        <v>-51585.000000000051</v>
      </c>
      <c r="AD13" s="33"/>
      <c r="AE13" s="33">
        <f t="shared" si="2"/>
        <v>-123205.50000000006</v>
      </c>
      <c r="AF13" s="33"/>
      <c r="AG13" s="33">
        <f t="shared" si="6"/>
        <v>58710.000000000007</v>
      </c>
      <c r="AH13" s="33"/>
      <c r="AI13" s="33"/>
      <c r="AJ13" s="33"/>
      <c r="AK13" s="33"/>
      <c r="AL13" s="33">
        <f t="shared" si="3"/>
        <v>58710.000000000007</v>
      </c>
      <c r="AM13" s="33"/>
      <c r="AN13" s="33">
        <f t="shared" si="7"/>
        <v>12910.5</v>
      </c>
      <c r="AO13" s="33">
        <f t="shared" si="4"/>
        <v>12910.5</v>
      </c>
      <c r="AP13" s="33"/>
      <c r="AQ13" s="33"/>
      <c r="AR13" s="33"/>
      <c r="AS13" s="33"/>
    </row>
    <row r="14" spans="1:45">
      <c r="A14" s="178">
        <v>12</v>
      </c>
      <c r="B14" s="178" t="s">
        <v>692</v>
      </c>
      <c r="C14" s="178">
        <v>5</v>
      </c>
      <c r="D14">
        <v>40.92</v>
      </c>
      <c r="E14">
        <v>42.2</v>
      </c>
      <c r="F14">
        <v>1.2</v>
      </c>
      <c r="G14" s="178">
        <v>3200</v>
      </c>
      <c r="H14">
        <v>42.4</v>
      </c>
      <c r="I14">
        <v>47</v>
      </c>
      <c r="J14" s="178">
        <v>1600</v>
      </c>
      <c r="K14" s="32">
        <v>400</v>
      </c>
      <c r="L14" s="178">
        <v>3200</v>
      </c>
      <c r="M14">
        <v>14</v>
      </c>
      <c r="N14">
        <v>18</v>
      </c>
      <c r="O14" s="178">
        <v>1600</v>
      </c>
      <c r="P14">
        <v>-4.2</v>
      </c>
      <c r="Q14">
        <v>14.3</v>
      </c>
      <c r="R14">
        <v>48.48</v>
      </c>
      <c r="S14" s="178">
        <v>14</v>
      </c>
      <c r="T14" s="178">
        <v>5</v>
      </c>
      <c r="U14" s="178">
        <v>10</v>
      </c>
      <c r="X14" t="s">
        <v>702</v>
      </c>
      <c r="Y14">
        <v>2</v>
      </c>
      <c r="AB14">
        <f t="shared" si="8"/>
        <v>375</v>
      </c>
      <c r="AC14" s="33">
        <f t="shared" si="5"/>
        <v>-51585.000000000058</v>
      </c>
      <c r="AD14" s="33"/>
      <c r="AE14" s="33">
        <f t="shared" si="2"/>
        <v>-108955.50000000006</v>
      </c>
      <c r="AF14" s="33"/>
      <c r="AG14" s="33">
        <f t="shared" si="6"/>
        <v>44460</v>
      </c>
      <c r="AH14" s="33"/>
      <c r="AI14" s="33"/>
      <c r="AJ14" s="33"/>
      <c r="AK14" s="33"/>
      <c r="AL14" s="33">
        <f t="shared" si="3"/>
        <v>44460</v>
      </c>
      <c r="AM14" s="33"/>
      <c r="AN14" s="33">
        <f t="shared" si="7"/>
        <v>12910.5</v>
      </c>
      <c r="AO14" s="33">
        <f t="shared" si="4"/>
        <v>12910.5</v>
      </c>
      <c r="AP14" s="33"/>
      <c r="AQ14" s="33"/>
      <c r="AR14" s="33"/>
      <c r="AS14" s="33"/>
    </row>
    <row r="15" spans="1:45">
      <c r="A15" s="178" t="s">
        <v>692</v>
      </c>
      <c r="B15" t="s">
        <v>692</v>
      </c>
      <c r="C15" s="178" t="s">
        <v>692</v>
      </c>
      <c r="D15" t="s">
        <v>692</v>
      </c>
      <c r="E15" t="s">
        <v>692</v>
      </c>
      <c r="F15" t="s">
        <v>692</v>
      </c>
      <c r="G15" s="178">
        <v>1600</v>
      </c>
      <c r="H15">
        <v>29.2</v>
      </c>
      <c r="I15">
        <v>45.35</v>
      </c>
      <c r="J15" s="178">
        <v>1600</v>
      </c>
      <c r="K15" s="32">
        <v>410</v>
      </c>
      <c r="L15" s="178">
        <v>1600</v>
      </c>
      <c r="M15">
        <v>15.05</v>
      </c>
      <c r="N15" t="s">
        <v>692</v>
      </c>
      <c r="O15" s="178" t="s">
        <v>692</v>
      </c>
      <c r="P15">
        <v>-4.8499999999999996</v>
      </c>
      <c r="Q15">
        <v>18</v>
      </c>
      <c r="R15">
        <v>48.37</v>
      </c>
      <c r="S15" s="178" t="s">
        <v>692</v>
      </c>
      <c r="T15" t="s">
        <v>692</v>
      </c>
      <c r="U15" s="178" t="s">
        <v>692</v>
      </c>
      <c r="AB15">
        <f t="shared" si="8"/>
        <v>380</v>
      </c>
      <c r="AC15" s="33">
        <f t="shared" si="5"/>
        <v>-51585.000000000058</v>
      </c>
      <c r="AD15" s="33"/>
      <c r="AE15" s="33">
        <f t="shared" si="2"/>
        <v>-94705.500000000058</v>
      </c>
      <c r="AF15" s="33"/>
      <c r="AG15" s="33">
        <f t="shared" si="6"/>
        <v>30210</v>
      </c>
      <c r="AH15" s="33"/>
      <c r="AI15" s="33"/>
      <c r="AJ15" s="33"/>
      <c r="AK15" s="33"/>
      <c r="AL15" s="33">
        <f t="shared" si="3"/>
        <v>30210</v>
      </c>
      <c r="AM15" s="33"/>
      <c r="AN15" s="33">
        <f t="shared" si="7"/>
        <v>12910.5</v>
      </c>
      <c r="AO15" s="33">
        <f t="shared" si="4"/>
        <v>12910.5</v>
      </c>
      <c r="AP15" s="33"/>
      <c r="AQ15" s="33"/>
      <c r="AR15" s="33"/>
      <c r="AS15" s="33"/>
    </row>
    <row r="16" spans="1:45">
      <c r="A16" s="178" t="s">
        <v>692</v>
      </c>
      <c r="B16" t="s">
        <v>692</v>
      </c>
      <c r="C16" s="178" t="s">
        <v>692</v>
      </c>
      <c r="D16" t="s">
        <v>692</v>
      </c>
      <c r="E16" t="s">
        <v>692</v>
      </c>
      <c r="F16" t="s">
        <v>692</v>
      </c>
      <c r="G16" s="178">
        <v>1600</v>
      </c>
      <c r="H16">
        <v>32.450000000000003</v>
      </c>
      <c r="I16">
        <v>35.549999999999997</v>
      </c>
      <c r="J16" s="178">
        <v>1600</v>
      </c>
      <c r="K16" s="32">
        <v>420</v>
      </c>
      <c r="L16" s="178">
        <v>1600</v>
      </c>
      <c r="M16">
        <v>19.05</v>
      </c>
      <c r="N16" t="s">
        <v>692</v>
      </c>
      <c r="O16" s="178" t="s">
        <v>692</v>
      </c>
      <c r="P16">
        <v>-1.2</v>
      </c>
      <c r="Q16">
        <v>25</v>
      </c>
      <c r="R16">
        <v>53.1</v>
      </c>
      <c r="S16" s="178" t="s">
        <v>692</v>
      </c>
      <c r="T16" t="s">
        <v>692</v>
      </c>
      <c r="U16" s="178" t="s">
        <v>692</v>
      </c>
      <c r="AB16">
        <f t="shared" si="8"/>
        <v>385</v>
      </c>
      <c r="AC16" s="33">
        <f t="shared" si="5"/>
        <v>-51585.000000000058</v>
      </c>
      <c r="AD16" s="33"/>
      <c r="AE16" s="33">
        <f t="shared" si="2"/>
        <v>-80455.500000000058</v>
      </c>
      <c r="AF16" s="33"/>
      <c r="AG16" s="33">
        <f t="shared" si="6"/>
        <v>15959.999999999998</v>
      </c>
      <c r="AH16" s="33"/>
      <c r="AI16" s="33"/>
      <c r="AJ16" s="33"/>
      <c r="AK16" s="33"/>
      <c r="AL16" s="33">
        <f t="shared" si="3"/>
        <v>15959.999999999998</v>
      </c>
      <c r="AM16" s="33"/>
      <c r="AN16" s="33">
        <f t="shared" si="7"/>
        <v>12910.5</v>
      </c>
      <c r="AO16" s="33">
        <f t="shared" si="4"/>
        <v>12910.5</v>
      </c>
      <c r="AP16" s="33"/>
      <c r="AQ16" s="33"/>
      <c r="AR16" s="33"/>
      <c r="AS16" s="33"/>
    </row>
    <row r="17" spans="1:45">
      <c r="A17" s="178" t="s">
        <v>692</v>
      </c>
      <c r="B17" t="s">
        <v>692</v>
      </c>
      <c r="C17" s="178" t="s">
        <v>692</v>
      </c>
      <c r="D17" t="s">
        <v>692</v>
      </c>
      <c r="E17" t="s">
        <v>692</v>
      </c>
      <c r="F17" t="s">
        <v>692</v>
      </c>
      <c r="G17" s="178">
        <v>1600</v>
      </c>
      <c r="H17">
        <v>26.15</v>
      </c>
      <c r="I17">
        <v>33.35</v>
      </c>
      <c r="J17" s="178">
        <v>3200</v>
      </c>
      <c r="K17" s="32">
        <v>430</v>
      </c>
      <c r="L17" s="178">
        <v>3200</v>
      </c>
      <c r="M17">
        <v>17</v>
      </c>
      <c r="N17" t="s">
        <v>692</v>
      </c>
      <c r="O17" s="178" t="s">
        <v>692</v>
      </c>
      <c r="P17" t="s">
        <v>692</v>
      </c>
      <c r="Q17" t="s">
        <v>692</v>
      </c>
      <c r="R17" t="s">
        <v>692</v>
      </c>
      <c r="S17" t="s">
        <v>692</v>
      </c>
      <c r="T17" t="s">
        <v>692</v>
      </c>
      <c r="U17" s="178">
        <v>1</v>
      </c>
      <c r="AB17">
        <f t="shared" si="8"/>
        <v>390</v>
      </c>
      <c r="AC17" s="33">
        <f t="shared" si="5"/>
        <v>-51585.000000000058</v>
      </c>
      <c r="AD17" s="33"/>
      <c r="AE17" s="33">
        <f t="shared" si="2"/>
        <v>-66205.500000000058</v>
      </c>
      <c r="AF17" s="33"/>
      <c r="AG17" s="33">
        <f t="shared" si="6"/>
        <v>1709.9999999999991</v>
      </c>
      <c r="AH17" s="33"/>
      <c r="AI17" s="33"/>
      <c r="AJ17" s="33"/>
      <c r="AK17" s="33"/>
      <c r="AL17" s="33">
        <f t="shared" si="3"/>
        <v>1709.9999999999991</v>
      </c>
      <c r="AM17" s="33"/>
      <c r="AN17" s="33">
        <f t="shared" si="7"/>
        <v>12910.5</v>
      </c>
      <c r="AO17" s="33">
        <f t="shared" si="4"/>
        <v>12910.5</v>
      </c>
      <c r="AP17" s="33"/>
      <c r="AQ17" s="33"/>
      <c r="AR17" s="33"/>
      <c r="AS17" s="33"/>
    </row>
    <row r="18" spans="1:45">
      <c r="A18" s="178" t="s">
        <v>692</v>
      </c>
      <c r="B18" t="s">
        <v>692</v>
      </c>
      <c r="C18" s="178" t="s">
        <v>692</v>
      </c>
      <c r="D18" t="s">
        <v>692</v>
      </c>
      <c r="E18" t="s">
        <v>692</v>
      </c>
      <c r="F18" t="s">
        <v>692</v>
      </c>
      <c r="G18" s="178">
        <v>1600</v>
      </c>
      <c r="H18">
        <v>17.3</v>
      </c>
      <c r="I18">
        <v>25.9</v>
      </c>
      <c r="J18" s="178">
        <v>1600</v>
      </c>
      <c r="K18" s="32">
        <v>440</v>
      </c>
      <c r="L18" s="178">
        <v>1600</v>
      </c>
      <c r="M18">
        <v>22.85</v>
      </c>
      <c r="N18" t="s">
        <v>692</v>
      </c>
      <c r="O18" s="178" t="s">
        <v>692</v>
      </c>
      <c r="P18" t="s">
        <v>692</v>
      </c>
      <c r="Q18" t="s">
        <v>692</v>
      </c>
      <c r="R18" t="s">
        <v>692</v>
      </c>
      <c r="S18" t="s">
        <v>692</v>
      </c>
      <c r="T18" t="s">
        <v>692</v>
      </c>
      <c r="U18" t="s">
        <v>692</v>
      </c>
      <c r="AB18">
        <f t="shared" si="8"/>
        <v>395</v>
      </c>
      <c r="AC18" s="33">
        <f t="shared" si="5"/>
        <v>-51585.000000000051</v>
      </c>
      <c r="AD18" s="33"/>
      <c r="AE18" s="33">
        <f t="shared" si="2"/>
        <v>-51955.500000000051</v>
      </c>
      <c r="AF18" s="33"/>
      <c r="AG18" s="33">
        <f t="shared" si="6"/>
        <v>-12540.000000000002</v>
      </c>
      <c r="AH18" s="33"/>
      <c r="AI18" s="33"/>
      <c r="AJ18" s="33"/>
      <c r="AK18" s="33"/>
      <c r="AL18" s="33">
        <f t="shared" si="3"/>
        <v>-12540.000000000002</v>
      </c>
      <c r="AM18" s="33"/>
      <c r="AN18" s="33">
        <f t="shared" si="7"/>
        <v>12910.5</v>
      </c>
      <c r="AO18" s="33">
        <f t="shared" si="4"/>
        <v>12910.5</v>
      </c>
      <c r="AP18" s="33"/>
      <c r="AQ18" s="33"/>
      <c r="AR18" s="33"/>
      <c r="AS18" s="33"/>
    </row>
    <row r="19" spans="1:45">
      <c r="A19" s="178">
        <v>14</v>
      </c>
      <c r="B19">
        <v>2</v>
      </c>
      <c r="C19" s="178">
        <v>26</v>
      </c>
      <c r="D19">
        <v>47.23</v>
      </c>
      <c r="E19">
        <v>20.149999999999999</v>
      </c>
      <c r="F19">
        <v>3.4</v>
      </c>
      <c r="G19" s="178">
        <v>4800</v>
      </c>
      <c r="H19">
        <v>18.899999999999999</v>
      </c>
      <c r="I19">
        <v>20.75</v>
      </c>
      <c r="J19" s="178">
        <v>1600</v>
      </c>
      <c r="K19" s="32">
        <v>450</v>
      </c>
      <c r="L19" s="178">
        <v>1600</v>
      </c>
      <c r="M19">
        <v>29.4</v>
      </c>
      <c r="N19">
        <v>79.95</v>
      </c>
      <c r="O19" s="178">
        <v>3200</v>
      </c>
      <c r="P19" t="s">
        <v>692</v>
      </c>
      <c r="Q19" t="s">
        <v>692</v>
      </c>
      <c r="R19" t="s">
        <v>692</v>
      </c>
      <c r="S19" t="s">
        <v>692</v>
      </c>
      <c r="T19" t="s">
        <v>692</v>
      </c>
      <c r="U19" t="s">
        <v>692</v>
      </c>
      <c r="AB19">
        <f t="shared" si="8"/>
        <v>400</v>
      </c>
      <c r="AC19" s="33">
        <f t="shared" si="5"/>
        <v>-51585.000000000051</v>
      </c>
      <c r="AD19" s="33"/>
      <c r="AE19" s="33">
        <f t="shared" si="2"/>
        <v>-37705.500000000051</v>
      </c>
      <c r="AF19" s="33"/>
      <c r="AG19" s="33">
        <f t="shared" si="6"/>
        <v>-26790</v>
      </c>
      <c r="AH19" s="33"/>
      <c r="AI19" s="33"/>
      <c r="AJ19" s="33"/>
      <c r="AK19" s="33"/>
      <c r="AL19" s="33">
        <f t="shared" si="3"/>
        <v>-26790</v>
      </c>
      <c r="AM19" s="33"/>
      <c r="AN19" s="33">
        <f t="shared" si="7"/>
        <v>12910.5</v>
      </c>
      <c r="AO19" s="33">
        <f t="shared" si="4"/>
        <v>12910.5</v>
      </c>
      <c r="AP19" s="33"/>
      <c r="AQ19" s="33"/>
      <c r="AR19" s="33"/>
      <c r="AS19" s="33"/>
    </row>
    <row r="20" spans="1:45">
      <c r="A20" s="178">
        <v>8</v>
      </c>
      <c r="B20">
        <v>1</v>
      </c>
      <c r="C20" s="178">
        <v>4</v>
      </c>
      <c r="D20">
        <v>50.18</v>
      </c>
      <c r="E20">
        <v>18.5</v>
      </c>
      <c r="F20">
        <v>4.0999999999999996</v>
      </c>
      <c r="G20" s="178">
        <v>3200</v>
      </c>
      <c r="H20">
        <v>14.8</v>
      </c>
      <c r="I20">
        <v>19.8</v>
      </c>
      <c r="J20" s="178">
        <v>1600</v>
      </c>
      <c r="K20" s="32">
        <v>460</v>
      </c>
      <c r="L20" s="178">
        <v>1600</v>
      </c>
      <c r="M20">
        <v>37.049999999999997</v>
      </c>
      <c r="N20">
        <v>91</v>
      </c>
      <c r="O20" s="178">
        <v>3200</v>
      </c>
      <c r="P20" t="s">
        <v>692</v>
      </c>
      <c r="Q20" t="s">
        <v>692</v>
      </c>
      <c r="R20" t="s">
        <v>692</v>
      </c>
      <c r="S20" t="s">
        <v>692</v>
      </c>
      <c r="T20" t="s">
        <v>692</v>
      </c>
      <c r="U20" t="s">
        <v>692</v>
      </c>
      <c r="AB20">
        <f t="shared" si="8"/>
        <v>405</v>
      </c>
      <c r="AC20" s="33">
        <f t="shared" si="5"/>
        <v>-37335.000000000051</v>
      </c>
      <c r="AD20" s="33"/>
      <c r="AE20" s="33">
        <f t="shared" si="2"/>
        <v>-23455.500000000051</v>
      </c>
      <c r="AF20" s="33"/>
      <c r="AG20" s="33">
        <f t="shared" si="6"/>
        <v>-26790</v>
      </c>
      <c r="AH20" s="33"/>
      <c r="AI20" s="33"/>
      <c r="AJ20" s="33"/>
      <c r="AK20" s="33"/>
      <c r="AL20" s="33">
        <f t="shared" si="3"/>
        <v>-26790</v>
      </c>
      <c r="AM20" s="33"/>
      <c r="AN20" s="33">
        <f t="shared" si="7"/>
        <v>12910.5</v>
      </c>
      <c r="AO20" s="33">
        <f t="shared" si="4"/>
        <v>12910.5</v>
      </c>
      <c r="AP20" s="33"/>
      <c r="AQ20" s="33"/>
      <c r="AR20" s="33"/>
      <c r="AS20" s="33"/>
    </row>
    <row r="21" spans="1:45">
      <c r="A21" s="178" t="s">
        <v>692</v>
      </c>
      <c r="B21" t="s">
        <v>692</v>
      </c>
      <c r="C21" s="178" t="s">
        <v>692</v>
      </c>
      <c r="D21" t="s">
        <v>692</v>
      </c>
      <c r="E21" t="s">
        <v>692</v>
      </c>
      <c r="F21" t="s">
        <v>692</v>
      </c>
      <c r="G21" s="178">
        <v>1600</v>
      </c>
      <c r="H21">
        <v>9.1999999999999993</v>
      </c>
      <c r="I21">
        <v>20.9</v>
      </c>
      <c r="J21" s="178">
        <v>48000</v>
      </c>
      <c r="K21" s="32">
        <v>470</v>
      </c>
      <c r="L21" s="178">
        <v>28800</v>
      </c>
      <c r="M21">
        <v>31.75</v>
      </c>
      <c r="N21" t="s">
        <v>692</v>
      </c>
      <c r="O21" s="178" t="s">
        <v>692</v>
      </c>
      <c r="P21" t="s">
        <v>692</v>
      </c>
      <c r="Q21" t="s">
        <v>692</v>
      </c>
      <c r="R21" t="s">
        <v>692</v>
      </c>
      <c r="S21" t="s">
        <v>692</v>
      </c>
      <c r="T21" t="s">
        <v>692</v>
      </c>
      <c r="U21" t="s">
        <v>692</v>
      </c>
      <c r="AB21">
        <f t="shared" si="8"/>
        <v>410</v>
      </c>
      <c r="AC21" s="33">
        <f t="shared" si="5"/>
        <v>-23085.000000000051</v>
      </c>
      <c r="AD21" s="33"/>
      <c r="AE21" s="33">
        <f t="shared" si="2"/>
        <v>-9205.5000000000509</v>
      </c>
      <c r="AF21" s="33"/>
      <c r="AG21" s="33">
        <f t="shared" si="6"/>
        <v>-26790</v>
      </c>
      <c r="AH21" s="33"/>
      <c r="AI21" s="33"/>
      <c r="AJ21" s="33"/>
      <c r="AK21" s="33"/>
      <c r="AL21" s="33">
        <f t="shared" si="3"/>
        <v>-26790</v>
      </c>
      <c r="AM21" s="33"/>
      <c r="AN21" s="33">
        <f t="shared" si="7"/>
        <v>12910.5</v>
      </c>
      <c r="AO21" s="33">
        <f t="shared" si="4"/>
        <v>12910.5</v>
      </c>
      <c r="AP21" s="33"/>
      <c r="AQ21" s="33"/>
      <c r="AR21" s="33"/>
      <c r="AS21" s="33"/>
    </row>
    <row r="22" spans="1:45">
      <c r="A22" s="178">
        <v>3</v>
      </c>
      <c r="B22" t="s">
        <v>692</v>
      </c>
      <c r="C22" s="178" t="s">
        <v>692</v>
      </c>
      <c r="D22" t="s">
        <v>692</v>
      </c>
      <c r="E22" t="s">
        <v>692</v>
      </c>
      <c r="F22" t="s">
        <v>692</v>
      </c>
      <c r="G22" s="178">
        <v>1600</v>
      </c>
      <c r="H22">
        <v>4.1500000000000004</v>
      </c>
      <c r="I22">
        <v>14</v>
      </c>
      <c r="J22" s="178">
        <v>1600</v>
      </c>
      <c r="K22" s="32">
        <v>480</v>
      </c>
      <c r="L22" s="178">
        <v>22400</v>
      </c>
      <c r="M22">
        <v>39.65</v>
      </c>
      <c r="N22" t="s">
        <v>692</v>
      </c>
      <c r="O22" s="178" t="s">
        <v>692</v>
      </c>
      <c r="P22" t="s">
        <v>692</v>
      </c>
      <c r="Q22" t="s">
        <v>692</v>
      </c>
      <c r="R22" t="s">
        <v>692</v>
      </c>
      <c r="S22" t="s">
        <v>692</v>
      </c>
      <c r="T22" t="s">
        <v>692</v>
      </c>
      <c r="U22" t="s">
        <v>692</v>
      </c>
      <c r="AB22">
        <f t="shared" si="8"/>
        <v>415</v>
      </c>
      <c r="AC22" s="33">
        <f t="shared" si="5"/>
        <v>-8835.0000000000509</v>
      </c>
      <c r="AD22" s="33"/>
      <c r="AE22" s="33">
        <f t="shared" si="2"/>
        <v>5044.4999999999482</v>
      </c>
      <c r="AF22" s="33"/>
      <c r="AG22" s="33">
        <f t="shared" si="6"/>
        <v>-26790</v>
      </c>
      <c r="AH22" s="33"/>
      <c r="AI22" s="33"/>
      <c r="AJ22" s="33"/>
      <c r="AK22" s="33"/>
      <c r="AL22" s="33">
        <f t="shared" si="3"/>
        <v>-26790</v>
      </c>
      <c r="AM22" s="33"/>
      <c r="AN22" s="33">
        <f t="shared" si="7"/>
        <v>12910.5</v>
      </c>
      <c r="AO22" s="33">
        <f t="shared" si="4"/>
        <v>12910.5</v>
      </c>
      <c r="AP22" s="33"/>
      <c r="AQ22" s="33"/>
      <c r="AR22" s="33"/>
      <c r="AS22" s="33"/>
    </row>
    <row r="23" spans="1:45">
      <c r="A23" t="s">
        <v>692</v>
      </c>
      <c r="B23" t="s">
        <v>692</v>
      </c>
      <c r="C23" s="178" t="s">
        <v>692</v>
      </c>
      <c r="D23" t="s">
        <v>692</v>
      </c>
      <c r="E23" t="s">
        <v>692</v>
      </c>
      <c r="F23" t="s">
        <v>692</v>
      </c>
      <c r="G23" s="178">
        <v>6400</v>
      </c>
      <c r="H23">
        <v>0.6</v>
      </c>
      <c r="I23">
        <v>19.899999999999999</v>
      </c>
      <c r="J23" s="178">
        <v>1600</v>
      </c>
      <c r="K23" s="32">
        <v>490</v>
      </c>
      <c r="L23" s="178">
        <v>48000</v>
      </c>
      <c r="M23">
        <v>50.15</v>
      </c>
      <c r="N23" t="s">
        <v>692</v>
      </c>
      <c r="O23" s="178" t="s">
        <v>692</v>
      </c>
      <c r="P23" t="s">
        <v>692</v>
      </c>
      <c r="Q23" t="s">
        <v>692</v>
      </c>
      <c r="R23" t="s">
        <v>692</v>
      </c>
      <c r="S23" t="s">
        <v>692</v>
      </c>
      <c r="T23" t="s">
        <v>692</v>
      </c>
      <c r="U23" t="s">
        <v>692</v>
      </c>
      <c r="AB23">
        <f t="shared" si="8"/>
        <v>420</v>
      </c>
      <c r="AC23" s="33">
        <f t="shared" si="5"/>
        <v>5414.9999999999491</v>
      </c>
      <c r="AD23" s="33"/>
      <c r="AE23" s="33">
        <f t="shared" si="2"/>
        <v>19294.499999999949</v>
      </c>
      <c r="AF23" s="33"/>
      <c r="AG23" s="33">
        <f t="shared" si="6"/>
        <v>-26790</v>
      </c>
      <c r="AH23" s="33"/>
      <c r="AI23" s="33"/>
      <c r="AJ23" s="33"/>
      <c r="AK23" s="33"/>
      <c r="AL23" s="33">
        <f t="shared" si="3"/>
        <v>-26790</v>
      </c>
      <c r="AM23" s="33"/>
      <c r="AN23" s="33">
        <f t="shared" si="7"/>
        <v>12910.5</v>
      </c>
      <c r="AO23" s="33">
        <f t="shared" si="4"/>
        <v>12910.5</v>
      </c>
      <c r="AP23" s="33"/>
      <c r="AQ23" s="33"/>
      <c r="AR23" s="33"/>
      <c r="AS23" s="33"/>
    </row>
    <row r="24" spans="1:45">
      <c r="A24" s="178">
        <v>4</v>
      </c>
      <c r="B24">
        <v>1</v>
      </c>
      <c r="C24" s="178">
        <v>2</v>
      </c>
      <c r="D24">
        <v>47.85</v>
      </c>
      <c r="E24">
        <v>7.7</v>
      </c>
      <c r="F24">
        <v>-5.3</v>
      </c>
      <c r="G24" s="178">
        <v>1600</v>
      </c>
      <c r="H24">
        <v>5.15</v>
      </c>
      <c r="I24">
        <v>9.9499999999999993</v>
      </c>
      <c r="J24" s="178">
        <v>1600</v>
      </c>
      <c r="K24" s="32">
        <v>500</v>
      </c>
      <c r="L24" s="178">
        <v>48000</v>
      </c>
      <c r="M24">
        <v>62.35</v>
      </c>
      <c r="N24" t="s">
        <v>692</v>
      </c>
      <c r="O24" s="178" t="s">
        <v>692</v>
      </c>
      <c r="P24" t="s">
        <v>692</v>
      </c>
      <c r="Q24" t="s">
        <v>692</v>
      </c>
      <c r="R24" t="s">
        <v>692</v>
      </c>
      <c r="S24" t="s">
        <v>692</v>
      </c>
      <c r="T24" t="s">
        <v>692</v>
      </c>
      <c r="U24" t="s">
        <v>692</v>
      </c>
      <c r="AB24">
        <f t="shared" si="8"/>
        <v>425</v>
      </c>
      <c r="AC24" s="33">
        <f t="shared" si="5"/>
        <v>19664.999999999949</v>
      </c>
      <c r="AD24" s="33"/>
      <c r="AE24" s="33">
        <f t="shared" si="2"/>
        <v>33544.499999999949</v>
      </c>
      <c r="AF24" s="33"/>
      <c r="AG24" s="33">
        <f t="shared" si="6"/>
        <v>-26790</v>
      </c>
      <c r="AH24" s="33"/>
      <c r="AI24" s="33"/>
      <c r="AJ24" s="33"/>
      <c r="AK24" s="33"/>
      <c r="AL24" s="33">
        <f t="shared" si="3"/>
        <v>-26790</v>
      </c>
      <c r="AM24" s="33"/>
      <c r="AN24" s="33">
        <f t="shared" si="7"/>
        <v>12910.5</v>
      </c>
      <c r="AO24" s="33">
        <f t="shared" si="4"/>
        <v>12910.5</v>
      </c>
      <c r="AP24" s="33"/>
      <c r="AQ24" s="33"/>
      <c r="AR24" s="33"/>
      <c r="AS24" s="33"/>
    </row>
    <row r="25" spans="1:45">
      <c r="A25" t="s">
        <v>692</v>
      </c>
      <c r="B25" t="s">
        <v>692</v>
      </c>
      <c r="C25" t="s">
        <v>692</v>
      </c>
      <c r="D25" t="s">
        <v>692</v>
      </c>
      <c r="E25" t="s">
        <v>692</v>
      </c>
      <c r="F25" t="s">
        <v>692</v>
      </c>
      <c r="G25" s="178">
        <v>6400</v>
      </c>
      <c r="H25">
        <v>0.3</v>
      </c>
      <c r="I25">
        <v>15.05</v>
      </c>
      <c r="J25" s="178">
        <v>48000</v>
      </c>
      <c r="K25" s="32">
        <v>510</v>
      </c>
      <c r="L25" s="178">
        <v>48000</v>
      </c>
      <c r="M25">
        <v>69.05</v>
      </c>
      <c r="N25" t="s">
        <v>692</v>
      </c>
      <c r="O25" s="178" t="s">
        <v>692</v>
      </c>
      <c r="P25" t="s">
        <v>692</v>
      </c>
      <c r="Q25" t="s">
        <v>692</v>
      </c>
      <c r="R25" t="s">
        <v>692</v>
      </c>
      <c r="S25" t="s">
        <v>692</v>
      </c>
      <c r="T25" t="s">
        <v>692</v>
      </c>
      <c r="U25" t="s">
        <v>692</v>
      </c>
      <c r="AB25">
        <f t="shared" si="8"/>
        <v>430</v>
      </c>
      <c r="AC25" s="33">
        <f t="shared" si="5"/>
        <v>33914.999999999949</v>
      </c>
      <c r="AD25" s="33"/>
      <c r="AE25" s="33">
        <f t="shared" si="2"/>
        <v>47794.499999999949</v>
      </c>
      <c r="AF25" s="33"/>
      <c r="AG25" s="33">
        <f t="shared" si="6"/>
        <v>-26790</v>
      </c>
      <c r="AH25" s="33"/>
      <c r="AI25" s="33"/>
      <c r="AJ25" s="33"/>
      <c r="AK25" s="33"/>
      <c r="AL25" s="33">
        <f t="shared" si="3"/>
        <v>-26790</v>
      </c>
      <c r="AM25" s="33"/>
      <c r="AN25" s="33">
        <f t="shared" si="7"/>
        <v>12910.5</v>
      </c>
      <c r="AO25" s="33">
        <f t="shared" si="4"/>
        <v>12910.5</v>
      </c>
      <c r="AP25" s="33"/>
      <c r="AQ25" s="33"/>
      <c r="AR25" s="33"/>
      <c r="AS25" s="33"/>
    </row>
    <row r="26" spans="1:45">
      <c r="A26" t="s">
        <v>692</v>
      </c>
      <c r="B26" t="s">
        <v>692</v>
      </c>
      <c r="C26" t="s">
        <v>692</v>
      </c>
      <c r="D26" t="s">
        <v>692</v>
      </c>
      <c r="E26" t="s">
        <v>692</v>
      </c>
      <c r="F26" t="s">
        <v>692</v>
      </c>
      <c r="G26" s="178">
        <v>6400</v>
      </c>
      <c r="H26">
        <v>0.2</v>
      </c>
      <c r="I26">
        <v>15.05</v>
      </c>
      <c r="J26" s="178">
        <v>48000</v>
      </c>
      <c r="K26" s="32">
        <v>520</v>
      </c>
      <c r="L26" s="178">
        <v>48000</v>
      </c>
      <c r="M26">
        <v>80.45</v>
      </c>
      <c r="N26" t="s">
        <v>692</v>
      </c>
      <c r="O26" s="178" t="s">
        <v>692</v>
      </c>
      <c r="P26" t="s">
        <v>692</v>
      </c>
      <c r="Q26" t="s">
        <v>692</v>
      </c>
      <c r="R26" t="s">
        <v>692</v>
      </c>
      <c r="S26" t="s">
        <v>692</v>
      </c>
      <c r="T26" t="s">
        <v>692</v>
      </c>
      <c r="U26" t="s">
        <v>692</v>
      </c>
      <c r="AB26">
        <f t="shared" si="8"/>
        <v>435</v>
      </c>
      <c r="AC26" s="33">
        <f t="shared" si="5"/>
        <v>48164.999999999949</v>
      </c>
      <c r="AD26" s="33"/>
      <c r="AE26" s="33">
        <f t="shared" si="2"/>
        <v>62044.499999999949</v>
      </c>
      <c r="AF26" s="33"/>
      <c r="AG26" s="33">
        <f t="shared" si="6"/>
        <v>-26790</v>
      </c>
      <c r="AH26" s="33"/>
      <c r="AI26" s="33"/>
      <c r="AJ26" s="33"/>
      <c r="AK26" s="33"/>
      <c r="AL26" s="33">
        <f t="shared" si="3"/>
        <v>-26790</v>
      </c>
      <c r="AM26" s="33"/>
      <c r="AN26" s="33">
        <f t="shared" si="7"/>
        <v>12910.5</v>
      </c>
      <c r="AO26" s="33">
        <f t="shared" si="4"/>
        <v>12910.5</v>
      </c>
      <c r="AP26" s="33"/>
      <c r="AQ26" s="33"/>
      <c r="AR26" s="33"/>
      <c r="AS26" s="33"/>
    </row>
    <row r="27" spans="1:45">
      <c r="A27" t="s">
        <v>692</v>
      </c>
      <c r="B27" t="s">
        <v>692</v>
      </c>
      <c r="C27" t="s">
        <v>692</v>
      </c>
      <c r="D27" t="s">
        <v>692</v>
      </c>
      <c r="E27" t="s">
        <v>692</v>
      </c>
      <c r="F27" t="s">
        <v>692</v>
      </c>
      <c r="G27" s="178">
        <v>8000</v>
      </c>
      <c r="H27">
        <v>0.2</v>
      </c>
      <c r="I27">
        <v>13.95</v>
      </c>
      <c r="J27" s="178">
        <v>48000</v>
      </c>
      <c r="K27" s="32">
        <v>530</v>
      </c>
      <c r="L27" s="178">
        <v>48000</v>
      </c>
      <c r="M27">
        <v>90.7</v>
      </c>
      <c r="N27" t="s">
        <v>692</v>
      </c>
      <c r="O27" s="178" t="s">
        <v>692</v>
      </c>
      <c r="P27" t="s">
        <v>692</v>
      </c>
      <c r="Q27" t="s">
        <v>692</v>
      </c>
      <c r="R27" t="s">
        <v>692</v>
      </c>
      <c r="S27" t="s">
        <v>692</v>
      </c>
      <c r="T27" t="s">
        <v>692</v>
      </c>
      <c r="U27" t="s">
        <v>692</v>
      </c>
      <c r="AB27">
        <f t="shared" si="8"/>
        <v>440</v>
      </c>
      <c r="AC27" s="33">
        <f t="shared" si="5"/>
        <v>62414.999999999942</v>
      </c>
      <c r="AD27" s="33"/>
      <c r="AE27" s="33">
        <f t="shared" si="2"/>
        <v>76294.499999999942</v>
      </c>
      <c r="AF27" s="33"/>
      <c r="AG27" s="33">
        <f t="shared" si="6"/>
        <v>-26790</v>
      </c>
      <c r="AH27" s="33"/>
      <c r="AI27" s="33"/>
      <c r="AJ27" s="33"/>
      <c r="AK27" s="33"/>
      <c r="AL27" s="33">
        <f t="shared" si="3"/>
        <v>-26790</v>
      </c>
      <c r="AM27" s="33"/>
      <c r="AN27" s="33">
        <f t="shared" si="7"/>
        <v>12910.5</v>
      </c>
      <c r="AO27" s="33">
        <f t="shared" si="4"/>
        <v>12910.5</v>
      </c>
      <c r="AP27" s="33"/>
      <c r="AQ27" s="33"/>
      <c r="AR27" s="33"/>
      <c r="AS27" s="33"/>
    </row>
    <row r="28" spans="1:45">
      <c r="A28" t="s">
        <v>692</v>
      </c>
      <c r="B28" t="s">
        <v>692</v>
      </c>
      <c r="C28" t="s">
        <v>692</v>
      </c>
      <c r="D28" t="s">
        <v>692</v>
      </c>
      <c r="E28" t="s">
        <v>692</v>
      </c>
      <c r="F28" t="s">
        <v>692</v>
      </c>
      <c r="G28" s="178">
        <v>6400</v>
      </c>
      <c r="H28">
        <v>0.1</v>
      </c>
      <c r="I28">
        <v>13.95</v>
      </c>
      <c r="J28" s="178">
        <v>48000</v>
      </c>
      <c r="K28" s="32">
        <v>540</v>
      </c>
      <c r="L28" s="178">
        <v>48000</v>
      </c>
      <c r="M28">
        <v>97.6</v>
      </c>
      <c r="N28" t="s">
        <v>692</v>
      </c>
      <c r="O28" s="178" t="s">
        <v>692</v>
      </c>
      <c r="P28" t="s">
        <v>692</v>
      </c>
      <c r="Q28" t="s">
        <v>692</v>
      </c>
      <c r="R28" t="s">
        <v>692</v>
      </c>
      <c r="S28" t="s">
        <v>692</v>
      </c>
      <c r="T28" t="s">
        <v>692</v>
      </c>
      <c r="U28" t="s">
        <v>692</v>
      </c>
      <c r="AB28">
        <f t="shared" si="8"/>
        <v>445</v>
      </c>
      <c r="AC28" s="33">
        <f t="shared" si="5"/>
        <v>62414.999999999942</v>
      </c>
      <c r="AD28" s="33"/>
      <c r="AE28" s="33">
        <f t="shared" si="2"/>
        <v>90544.499999999942</v>
      </c>
      <c r="AF28" s="33"/>
      <c r="AG28" s="33">
        <f t="shared" si="6"/>
        <v>-26790</v>
      </c>
      <c r="AH28" s="33"/>
      <c r="AI28" s="33"/>
      <c r="AJ28" s="33"/>
      <c r="AK28" s="33"/>
      <c r="AL28" s="33">
        <f t="shared" si="3"/>
        <v>-26790</v>
      </c>
      <c r="AM28" s="33"/>
      <c r="AN28" s="33">
        <f t="shared" si="7"/>
        <v>-1339.4999999999993</v>
      </c>
      <c r="AO28" s="33">
        <f t="shared" si="4"/>
        <v>-1339.4999999999993</v>
      </c>
      <c r="AP28" s="33"/>
      <c r="AQ28" s="33"/>
      <c r="AR28" s="33"/>
      <c r="AS28" s="33"/>
    </row>
    <row r="29" spans="1:45">
      <c r="A29" t="s">
        <v>692</v>
      </c>
      <c r="B29" t="s">
        <v>692</v>
      </c>
      <c r="C29" t="s">
        <v>692</v>
      </c>
      <c r="D29" t="s">
        <v>692</v>
      </c>
      <c r="E29" t="s">
        <v>692</v>
      </c>
      <c r="F29" t="s">
        <v>692</v>
      </c>
      <c r="G29" s="178">
        <v>1600</v>
      </c>
      <c r="H29">
        <v>0.15</v>
      </c>
      <c r="I29">
        <v>5</v>
      </c>
      <c r="J29" s="178">
        <v>1600</v>
      </c>
      <c r="K29" s="32">
        <v>550</v>
      </c>
      <c r="L29" s="178">
        <v>48000</v>
      </c>
      <c r="M29">
        <v>108</v>
      </c>
      <c r="N29" t="s">
        <v>692</v>
      </c>
      <c r="O29" s="178" t="s">
        <v>692</v>
      </c>
      <c r="P29" t="s">
        <v>692</v>
      </c>
      <c r="Q29" t="s">
        <v>692</v>
      </c>
      <c r="R29" t="s">
        <v>692</v>
      </c>
      <c r="S29" t="s">
        <v>692</v>
      </c>
      <c r="T29" t="s">
        <v>692</v>
      </c>
      <c r="U29" t="s">
        <v>692</v>
      </c>
      <c r="AB29">
        <f t="shared" si="8"/>
        <v>450</v>
      </c>
      <c r="AC29" s="33">
        <f t="shared" si="5"/>
        <v>62414.999999999942</v>
      </c>
      <c r="AD29" s="33"/>
      <c r="AE29" s="33">
        <f t="shared" si="2"/>
        <v>104794.49999999994</v>
      </c>
      <c r="AF29" s="33"/>
      <c r="AG29" s="33">
        <f t="shared" si="6"/>
        <v>-26790</v>
      </c>
      <c r="AH29" s="33"/>
      <c r="AI29" s="33"/>
      <c r="AJ29" s="33"/>
      <c r="AK29" s="33"/>
      <c r="AL29" s="33">
        <f t="shared" si="3"/>
        <v>-26790</v>
      </c>
      <c r="AM29" s="33"/>
      <c r="AN29" s="33">
        <f t="shared" si="7"/>
        <v>-15589.5</v>
      </c>
      <c r="AO29" s="33">
        <f t="shared" si="4"/>
        <v>-15589.5</v>
      </c>
      <c r="AP29" s="33"/>
      <c r="AQ29" s="33"/>
      <c r="AR29" s="33"/>
      <c r="AS29" s="33"/>
    </row>
    <row r="30" spans="1:45">
      <c r="A30" t="s">
        <v>692</v>
      </c>
      <c r="B30" t="s">
        <v>692</v>
      </c>
      <c r="C30" t="s">
        <v>692</v>
      </c>
      <c r="D30" t="s">
        <v>692</v>
      </c>
      <c r="E30" t="s">
        <v>692</v>
      </c>
      <c r="F30" t="s">
        <v>692</v>
      </c>
      <c r="G30" s="178">
        <v>6400</v>
      </c>
      <c r="H30">
        <v>0.1</v>
      </c>
      <c r="I30" t="s">
        <v>692</v>
      </c>
      <c r="J30" s="178" t="s">
        <v>692</v>
      </c>
      <c r="K30" s="32">
        <v>560</v>
      </c>
      <c r="L30" s="178">
        <v>48000</v>
      </c>
      <c r="M30">
        <v>116.65</v>
      </c>
      <c r="N30" t="s">
        <v>692</v>
      </c>
      <c r="O30" s="178" t="s">
        <v>692</v>
      </c>
      <c r="P30" t="s">
        <v>692</v>
      </c>
      <c r="Q30" t="s">
        <v>692</v>
      </c>
      <c r="R30" t="s">
        <v>692</v>
      </c>
      <c r="S30" t="s">
        <v>692</v>
      </c>
      <c r="T30" t="s">
        <v>692</v>
      </c>
      <c r="U30" t="s">
        <v>692</v>
      </c>
      <c r="AB30">
        <f t="shared" si="8"/>
        <v>455</v>
      </c>
      <c r="AC30" s="33">
        <f t="shared" si="5"/>
        <v>62414.999999999942</v>
      </c>
      <c r="AD30" s="33"/>
      <c r="AE30" s="33">
        <f t="shared" si="2"/>
        <v>119044.49999999994</v>
      </c>
      <c r="AF30" s="33"/>
      <c r="AG30" s="33">
        <f t="shared" si="6"/>
        <v>-26790</v>
      </c>
      <c r="AH30" s="33"/>
      <c r="AI30" s="33"/>
      <c r="AJ30" s="33"/>
      <c r="AK30" s="33"/>
      <c r="AL30" s="33">
        <f t="shared" si="3"/>
        <v>-26790</v>
      </c>
      <c r="AM30" s="33"/>
      <c r="AN30" s="33">
        <f t="shared" si="7"/>
        <v>-29839.499999999996</v>
      </c>
      <c r="AO30" s="33">
        <f t="shared" si="4"/>
        <v>-29839.499999999996</v>
      </c>
      <c r="AP30" s="33"/>
      <c r="AQ30" s="33"/>
      <c r="AR30" s="33"/>
      <c r="AS30" s="33"/>
    </row>
    <row r="31" spans="1:45">
      <c r="A31" t="s">
        <v>692</v>
      </c>
      <c r="B31" t="s">
        <v>692</v>
      </c>
      <c r="C31" t="s">
        <v>692</v>
      </c>
      <c r="D31" t="s">
        <v>692</v>
      </c>
      <c r="E31" t="s">
        <v>692</v>
      </c>
      <c r="F31" t="s">
        <v>692</v>
      </c>
      <c r="G31" s="178">
        <v>6400</v>
      </c>
      <c r="H31">
        <v>0.1</v>
      </c>
      <c r="I31" t="s">
        <v>692</v>
      </c>
      <c r="J31" s="178" t="s">
        <v>692</v>
      </c>
      <c r="K31" s="32">
        <v>570</v>
      </c>
      <c r="L31" s="178">
        <v>48000</v>
      </c>
      <c r="M31">
        <v>125</v>
      </c>
      <c r="N31" t="s">
        <v>692</v>
      </c>
      <c r="O31" s="178" t="s">
        <v>692</v>
      </c>
      <c r="P31" t="s">
        <v>692</v>
      </c>
      <c r="Q31" t="s">
        <v>692</v>
      </c>
      <c r="R31" t="s">
        <v>692</v>
      </c>
      <c r="S31" t="s">
        <v>692</v>
      </c>
      <c r="T31" t="s">
        <v>692</v>
      </c>
      <c r="U31" t="s">
        <v>692</v>
      </c>
      <c r="AB31" s="143"/>
      <c r="AC31" s="33"/>
      <c r="AD31" s="33"/>
      <c r="AE31" s="33"/>
      <c r="AF31" s="33"/>
      <c r="AG31" s="33"/>
      <c r="AH31" s="33"/>
      <c r="AI31" s="33"/>
      <c r="AJ31" s="33"/>
      <c r="AK31" s="33"/>
      <c r="AL31" s="33"/>
      <c r="AM31" s="33"/>
      <c r="AN31" s="33"/>
      <c r="AO31" s="33"/>
      <c r="AP31" s="33"/>
      <c r="AQ31" s="33"/>
      <c r="AR31" s="33"/>
      <c r="AS31" s="33"/>
    </row>
    <row r="32" spans="1:45">
      <c r="A32" t="s">
        <v>692</v>
      </c>
      <c r="B32" t="s">
        <v>692</v>
      </c>
      <c r="C32" t="s">
        <v>692</v>
      </c>
      <c r="D32" t="s">
        <v>692</v>
      </c>
      <c r="E32" t="s">
        <v>692</v>
      </c>
      <c r="F32" t="s">
        <v>692</v>
      </c>
      <c r="G32" s="178" t="s">
        <v>692</v>
      </c>
      <c r="H32" t="s">
        <v>692</v>
      </c>
      <c r="I32" t="s">
        <v>692</v>
      </c>
      <c r="J32" s="178" t="s">
        <v>692</v>
      </c>
      <c r="K32" s="32">
        <v>580</v>
      </c>
      <c r="L32" s="178">
        <v>48000</v>
      </c>
      <c r="M32">
        <v>133.35</v>
      </c>
      <c r="N32" t="s">
        <v>692</v>
      </c>
      <c r="O32" s="178" t="s">
        <v>692</v>
      </c>
      <c r="P32" t="s">
        <v>692</v>
      </c>
      <c r="Q32" t="s">
        <v>692</v>
      </c>
      <c r="R32" t="s">
        <v>692</v>
      </c>
      <c r="S32" t="s">
        <v>692</v>
      </c>
      <c r="T32" t="s">
        <v>692</v>
      </c>
      <c r="U32" t="s">
        <v>692</v>
      </c>
      <c r="AB32" s="143"/>
      <c r="AC32" s="33"/>
      <c r="AD32" s="33"/>
      <c r="AE32" s="33"/>
      <c r="AF32" s="33"/>
      <c r="AG32" s="33"/>
      <c r="AH32" s="33"/>
      <c r="AI32" s="33"/>
      <c r="AJ32" s="33"/>
      <c r="AK32" s="33"/>
      <c r="AL32" s="33"/>
      <c r="AM32" s="33"/>
      <c r="AN32" s="33"/>
      <c r="AO32" s="33"/>
      <c r="AP32" s="33"/>
      <c r="AQ32" s="33"/>
      <c r="AR32" s="33"/>
      <c r="AS32" s="33"/>
    </row>
    <row r="33" spans="1:45">
      <c r="A33" t="s">
        <v>692</v>
      </c>
      <c r="B33" t="s">
        <v>692</v>
      </c>
      <c r="C33" t="s">
        <v>692</v>
      </c>
      <c r="D33" t="s">
        <v>692</v>
      </c>
      <c r="E33" t="s">
        <v>692</v>
      </c>
      <c r="F33" t="s">
        <v>692</v>
      </c>
      <c r="G33" s="178" t="s">
        <v>692</v>
      </c>
      <c r="H33" t="s">
        <v>692</v>
      </c>
      <c r="I33" t="s">
        <v>692</v>
      </c>
      <c r="J33" s="178" t="s">
        <v>692</v>
      </c>
      <c r="K33" s="32">
        <v>590</v>
      </c>
      <c r="L33" s="178">
        <v>48000</v>
      </c>
      <c r="M33">
        <v>150.9</v>
      </c>
      <c r="N33" t="s">
        <v>692</v>
      </c>
      <c r="O33" s="178" t="s">
        <v>692</v>
      </c>
      <c r="P33" t="s">
        <v>692</v>
      </c>
      <c r="Q33" t="s">
        <v>692</v>
      </c>
      <c r="R33" t="s">
        <v>692</v>
      </c>
      <c r="S33" t="s">
        <v>692</v>
      </c>
      <c r="T33" t="s">
        <v>692</v>
      </c>
      <c r="U33" t="s">
        <v>692</v>
      </c>
      <c r="AB33" s="143"/>
      <c r="AC33" s="33"/>
      <c r="AD33" s="33"/>
      <c r="AE33" s="33"/>
      <c r="AF33" s="33"/>
      <c r="AG33" s="33"/>
      <c r="AH33" s="33"/>
      <c r="AI33" s="33"/>
      <c r="AJ33" s="33"/>
      <c r="AK33" s="33"/>
      <c r="AL33" s="33"/>
      <c r="AM33" s="33"/>
      <c r="AN33" s="33"/>
      <c r="AO33" s="33"/>
      <c r="AP33" s="33"/>
      <c r="AQ33" s="33"/>
      <c r="AR33" s="33"/>
      <c r="AS33" s="33"/>
    </row>
    <row r="34" spans="1:45">
      <c r="A34" t="s">
        <v>692</v>
      </c>
      <c r="B34" t="s">
        <v>692</v>
      </c>
      <c r="C34" t="s">
        <v>692</v>
      </c>
      <c r="D34" t="s">
        <v>692</v>
      </c>
      <c r="E34" t="s">
        <v>692</v>
      </c>
      <c r="F34" t="s">
        <v>692</v>
      </c>
      <c r="G34" s="178" t="s">
        <v>692</v>
      </c>
      <c r="H34" t="s">
        <v>692</v>
      </c>
      <c r="I34" t="s">
        <v>692</v>
      </c>
      <c r="J34" s="178" t="s">
        <v>692</v>
      </c>
      <c r="K34" s="32">
        <v>600</v>
      </c>
      <c r="L34" s="178">
        <v>48000</v>
      </c>
      <c r="M34">
        <v>160.05000000000001</v>
      </c>
      <c r="N34" t="s">
        <v>692</v>
      </c>
      <c r="O34" s="178" t="s">
        <v>692</v>
      </c>
      <c r="P34" t="s">
        <v>692</v>
      </c>
      <c r="Q34" t="s">
        <v>692</v>
      </c>
      <c r="R34" t="s">
        <v>692</v>
      </c>
      <c r="S34" t="s">
        <v>692</v>
      </c>
      <c r="T34" t="s">
        <v>692</v>
      </c>
      <c r="U34" t="s">
        <v>692</v>
      </c>
      <c r="AB34" s="143"/>
      <c r="AC34" s="33"/>
      <c r="AD34" s="33"/>
      <c r="AE34" s="33"/>
      <c r="AF34" s="33"/>
      <c r="AG34" s="33"/>
      <c r="AH34" s="33"/>
      <c r="AI34" s="33"/>
      <c r="AJ34" s="33"/>
      <c r="AK34" s="33"/>
      <c r="AL34" s="33"/>
      <c r="AM34" s="33"/>
      <c r="AN34" s="33"/>
      <c r="AO34" s="33"/>
      <c r="AP34" s="33"/>
      <c r="AQ34" s="33"/>
      <c r="AR34" s="33"/>
      <c r="AS34" s="33"/>
    </row>
    <row r="35" spans="1:45">
      <c r="A35" t="s">
        <v>692</v>
      </c>
      <c r="B35" t="s">
        <v>692</v>
      </c>
      <c r="C35" t="s">
        <v>692</v>
      </c>
      <c r="D35" t="s">
        <v>692</v>
      </c>
      <c r="E35" t="s">
        <v>692</v>
      </c>
      <c r="F35" t="s">
        <v>692</v>
      </c>
      <c r="G35" s="178" t="s">
        <v>692</v>
      </c>
      <c r="H35" t="s">
        <v>692</v>
      </c>
      <c r="I35" t="s">
        <v>692</v>
      </c>
      <c r="J35" s="178" t="s">
        <v>692</v>
      </c>
      <c r="K35" s="32">
        <v>610</v>
      </c>
      <c r="L35" s="178">
        <v>48000</v>
      </c>
      <c r="M35">
        <v>169.2</v>
      </c>
      <c r="N35" t="s">
        <v>692</v>
      </c>
      <c r="O35" s="178" t="s">
        <v>692</v>
      </c>
      <c r="P35" t="s">
        <v>692</v>
      </c>
      <c r="Q35" t="s">
        <v>692</v>
      </c>
      <c r="R35" t="s">
        <v>692</v>
      </c>
      <c r="S35" t="s">
        <v>692</v>
      </c>
      <c r="T35" t="s">
        <v>692</v>
      </c>
      <c r="U35" t="s">
        <v>692</v>
      </c>
      <c r="AB35" s="143"/>
      <c r="AC35" s="33"/>
      <c r="AD35" s="33"/>
      <c r="AE35" s="33"/>
      <c r="AF35" s="33"/>
      <c r="AG35" s="33"/>
      <c r="AH35" s="33"/>
      <c r="AI35" s="33"/>
      <c r="AJ35" s="33"/>
      <c r="AK35" s="33"/>
      <c r="AL35" s="33"/>
      <c r="AM35" s="33"/>
      <c r="AN35" s="33"/>
      <c r="AO35" s="33"/>
      <c r="AP35" s="33"/>
      <c r="AQ35" s="33"/>
      <c r="AR35" s="33"/>
      <c r="AS35" s="33"/>
    </row>
    <row r="36" spans="1:45">
      <c r="A36" t="s">
        <v>692</v>
      </c>
      <c r="B36" t="s">
        <v>692</v>
      </c>
      <c r="C36" t="s">
        <v>692</v>
      </c>
      <c r="D36" t="s">
        <v>692</v>
      </c>
      <c r="E36" t="s">
        <v>692</v>
      </c>
      <c r="F36" t="s">
        <v>692</v>
      </c>
      <c r="G36" s="178" t="s">
        <v>692</v>
      </c>
      <c r="H36" t="s">
        <v>692</v>
      </c>
      <c r="I36" t="s">
        <v>692</v>
      </c>
      <c r="J36" s="178" t="s">
        <v>692</v>
      </c>
      <c r="K36" s="32">
        <v>620</v>
      </c>
      <c r="L36" s="178">
        <v>48000</v>
      </c>
      <c r="M36">
        <v>178</v>
      </c>
      <c r="N36" t="s">
        <v>692</v>
      </c>
      <c r="O36" s="178" t="s">
        <v>692</v>
      </c>
      <c r="P36" t="s">
        <v>692</v>
      </c>
      <c r="Q36" t="s">
        <v>692</v>
      </c>
      <c r="R36" t="s">
        <v>692</v>
      </c>
      <c r="S36" t="s">
        <v>692</v>
      </c>
      <c r="T36" t="s">
        <v>692</v>
      </c>
      <c r="U36" t="s">
        <v>692</v>
      </c>
      <c r="AB36" s="143"/>
      <c r="AC36" s="33"/>
      <c r="AD36" s="33"/>
      <c r="AE36" s="33"/>
      <c r="AF36" s="33"/>
      <c r="AG36" s="33"/>
      <c r="AH36" s="33"/>
      <c r="AI36" s="33"/>
      <c r="AJ36" s="33"/>
      <c r="AK36" s="33"/>
      <c r="AL36" s="33"/>
      <c r="AM36" s="33"/>
      <c r="AN36" s="33"/>
      <c r="AO36" s="33"/>
      <c r="AP36" s="33"/>
      <c r="AQ36" s="33"/>
      <c r="AR36" s="33"/>
      <c r="AS36" s="33"/>
    </row>
    <row r="37" spans="1:45">
      <c r="A37">
        <v>17</v>
      </c>
      <c r="B37">
        <v>1</v>
      </c>
      <c r="C37">
        <v>42</v>
      </c>
      <c r="D37">
        <v>52.86</v>
      </c>
      <c r="E37">
        <v>5.15</v>
      </c>
      <c r="F37">
        <v>1.75</v>
      </c>
      <c r="G37" s="178">
        <v>1600</v>
      </c>
      <c r="H37">
        <v>4.75</v>
      </c>
      <c r="I37">
        <v>4.95</v>
      </c>
      <c r="J37" s="178">
        <v>1600</v>
      </c>
      <c r="K37" s="32">
        <v>455</v>
      </c>
      <c r="L37" s="178">
        <v>4800</v>
      </c>
      <c r="M37">
        <v>29.35</v>
      </c>
      <c r="N37">
        <v>37.549999999999997</v>
      </c>
      <c r="O37" s="178">
        <v>4800</v>
      </c>
      <c r="P37" t="s">
        <v>692</v>
      </c>
      <c r="Q37" t="s">
        <v>692</v>
      </c>
      <c r="R37" t="s">
        <v>692</v>
      </c>
      <c r="S37" t="s">
        <v>692</v>
      </c>
      <c r="T37" t="s">
        <v>692</v>
      </c>
      <c r="U37">
        <v>3</v>
      </c>
      <c r="AB37" s="143"/>
      <c r="AC37" s="33"/>
      <c r="AD37" s="33"/>
      <c r="AE37" s="33"/>
      <c r="AF37" s="33"/>
      <c r="AG37" s="33"/>
      <c r="AH37" s="33"/>
      <c r="AI37" s="33"/>
      <c r="AJ37" s="33"/>
      <c r="AK37" s="33"/>
      <c r="AL37" s="33"/>
      <c r="AM37" s="33"/>
      <c r="AN37" s="33"/>
      <c r="AO37" s="33"/>
      <c r="AP37" s="33"/>
      <c r="AQ37" s="33"/>
      <c r="AR37" s="33"/>
      <c r="AS37" s="33"/>
    </row>
    <row r="38" spans="1:45">
      <c r="A38">
        <v>207</v>
      </c>
      <c r="B38">
        <v>11</v>
      </c>
      <c r="C38">
        <v>775</v>
      </c>
      <c r="D38">
        <v>53.31</v>
      </c>
      <c r="E38">
        <v>4.1500000000000004</v>
      </c>
      <c r="F38">
        <v>1.35</v>
      </c>
      <c r="G38">
        <v>1600</v>
      </c>
      <c r="H38">
        <v>4.1500000000000004</v>
      </c>
      <c r="I38">
        <v>4.3</v>
      </c>
      <c r="J38">
        <v>12800</v>
      </c>
      <c r="K38" s="32">
        <v>460</v>
      </c>
      <c r="L38">
        <v>3200</v>
      </c>
      <c r="M38">
        <v>34.549999999999997</v>
      </c>
      <c r="N38">
        <v>39</v>
      </c>
      <c r="O38">
        <v>8000</v>
      </c>
      <c r="P38">
        <v>-12.55</v>
      </c>
      <c r="Q38">
        <v>36.25</v>
      </c>
      <c r="R38">
        <v>57.86</v>
      </c>
      <c r="S38">
        <v>4</v>
      </c>
      <c r="T38">
        <v>-1</v>
      </c>
      <c r="U38">
        <v>41</v>
      </c>
      <c r="AB38" s="143"/>
      <c r="AC38" s="33"/>
      <c r="AD38" s="33"/>
      <c r="AE38" s="33"/>
      <c r="AF38" s="33"/>
      <c r="AG38" s="33"/>
      <c r="AH38" s="33"/>
      <c r="AI38" s="33"/>
      <c r="AJ38" s="33"/>
      <c r="AK38" s="33"/>
      <c r="AL38" s="33"/>
      <c r="AM38" s="33"/>
      <c r="AN38" s="33"/>
      <c r="AO38" s="33"/>
      <c r="AP38" s="33"/>
      <c r="AQ38" s="33"/>
      <c r="AR38" s="33"/>
      <c r="AS38" s="33"/>
    </row>
    <row r="39" spans="1:45">
      <c r="A39">
        <v>30</v>
      </c>
      <c r="B39" t="s">
        <v>692</v>
      </c>
      <c r="C39">
        <v>33</v>
      </c>
      <c r="D39">
        <v>54.7</v>
      </c>
      <c r="E39">
        <v>3.6</v>
      </c>
      <c r="F39">
        <v>1.25</v>
      </c>
      <c r="G39">
        <v>4800</v>
      </c>
      <c r="H39">
        <v>3.3</v>
      </c>
      <c r="I39">
        <v>3.55</v>
      </c>
      <c r="J39">
        <v>1600</v>
      </c>
      <c r="K39" s="32">
        <v>465</v>
      </c>
      <c r="L39">
        <v>4800</v>
      </c>
      <c r="M39">
        <v>29.25</v>
      </c>
      <c r="N39">
        <v>41.5</v>
      </c>
      <c r="O39">
        <v>1600</v>
      </c>
      <c r="P39" t="s">
        <v>692</v>
      </c>
      <c r="Q39" t="s">
        <v>692</v>
      </c>
      <c r="R39" t="s">
        <v>692</v>
      </c>
      <c r="S39" t="s">
        <v>692</v>
      </c>
      <c r="T39" t="s">
        <v>692</v>
      </c>
      <c r="U39">
        <v>2</v>
      </c>
      <c r="AB39" s="143"/>
      <c r="AC39" s="33"/>
      <c r="AD39" s="33"/>
      <c r="AE39" s="33"/>
      <c r="AF39" s="33"/>
      <c r="AG39" s="33"/>
      <c r="AH39" s="33"/>
      <c r="AI39" s="33"/>
      <c r="AJ39" s="33"/>
      <c r="AK39" s="33"/>
      <c r="AL39" s="33"/>
      <c r="AM39" s="33"/>
      <c r="AN39" s="33"/>
      <c r="AO39" s="33"/>
      <c r="AP39" s="33"/>
      <c r="AQ39" s="33"/>
      <c r="AR39" s="33"/>
      <c r="AS39" s="33"/>
    </row>
    <row r="40" spans="1:45">
      <c r="A40">
        <v>135</v>
      </c>
      <c r="B40">
        <v>-22</v>
      </c>
      <c r="C40">
        <v>585</v>
      </c>
      <c r="D40">
        <v>55.01</v>
      </c>
      <c r="E40">
        <v>2.9</v>
      </c>
      <c r="F40">
        <v>0.9</v>
      </c>
      <c r="G40">
        <v>1600</v>
      </c>
      <c r="H40">
        <v>2.8</v>
      </c>
      <c r="I40">
        <v>2.9</v>
      </c>
      <c r="J40">
        <v>1600</v>
      </c>
      <c r="K40" s="32">
        <v>470</v>
      </c>
      <c r="L40">
        <v>4800</v>
      </c>
      <c r="M40">
        <v>39.85</v>
      </c>
      <c r="N40">
        <v>44.95</v>
      </c>
      <c r="O40">
        <v>1600</v>
      </c>
      <c r="P40" t="s">
        <v>692</v>
      </c>
      <c r="Q40" t="s">
        <v>692</v>
      </c>
      <c r="R40" t="s">
        <v>692</v>
      </c>
      <c r="S40" t="s">
        <v>692</v>
      </c>
      <c r="T40" t="s">
        <v>692</v>
      </c>
      <c r="U40">
        <v>23</v>
      </c>
      <c r="AB40" s="143"/>
      <c r="AC40" s="33"/>
      <c r="AD40" s="33"/>
      <c r="AE40" s="33"/>
      <c r="AF40" s="33"/>
      <c r="AG40" s="33"/>
      <c r="AH40" s="33"/>
      <c r="AI40" s="33"/>
      <c r="AJ40" s="33"/>
      <c r="AK40" s="33"/>
      <c r="AL40" s="33"/>
      <c r="AM40" s="33"/>
      <c r="AN40" s="33"/>
      <c r="AO40" s="33"/>
      <c r="AP40" s="33"/>
      <c r="AQ40" s="33"/>
      <c r="AR40" s="33"/>
      <c r="AS40" s="33"/>
    </row>
    <row r="41" spans="1:45">
      <c r="A41">
        <v>34</v>
      </c>
      <c r="B41">
        <v>4</v>
      </c>
      <c r="C41">
        <v>37</v>
      </c>
      <c r="D41">
        <v>57.66</v>
      </c>
      <c r="E41">
        <v>2.4</v>
      </c>
      <c r="F41">
        <v>0.65</v>
      </c>
      <c r="G41">
        <v>12800</v>
      </c>
      <c r="H41">
        <v>2.25</v>
      </c>
      <c r="I41">
        <v>2.4500000000000002</v>
      </c>
      <c r="J41">
        <v>1600</v>
      </c>
      <c r="K41" s="32">
        <v>475</v>
      </c>
      <c r="L41">
        <v>48000</v>
      </c>
      <c r="M41">
        <v>38.35</v>
      </c>
      <c r="N41">
        <v>52.85</v>
      </c>
      <c r="O41">
        <v>6400</v>
      </c>
      <c r="P41">
        <v>-22</v>
      </c>
      <c r="Q41">
        <v>53</v>
      </c>
      <c r="R41">
        <v>82.56</v>
      </c>
      <c r="S41">
        <v>1</v>
      </c>
      <c r="T41" t="s">
        <v>692</v>
      </c>
      <c r="U41">
        <v>2</v>
      </c>
      <c r="AB41" s="143"/>
      <c r="AC41" s="33"/>
      <c r="AD41" s="33"/>
      <c r="AE41" s="33"/>
      <c r="AF41" s="33"/>
      <c r="AG41" s="33"/>
      <c r="AH41" s="33"/>
      <c r="AI41" s="33"/>
      <c r="AJ41" s="33"/>
      <c r="AK41" s="33"/>
      <c r="AL41" s="33"/>
      <c r="AM41" s="33"/>
      <c r="AN41" s="33"/>
      <c r="AO41" s="33"/>
      <c r="AP41" s="33"/>
      <c r="AQ41" s="33"/>
      <c r="AR41" s="33"/>
      <c r="AS41" s="33"/>
    </row>
    <row r="42" spans="1:45">
      <c r="A42">
        <v>262</v>
      </c>
      <c r="B42">
        <v>19</v>
      </c>
      <c r="C42">
        <v>476</v>
      </c>
      <c r="D42">
        <v>58.21</v>
      </c>
      <c r="E42">
        <v>2.0499999999999998</v>
      </c>
      <c r="F42">
        <v>0.6</v>
      </c>
      <c r="G42">
        <v>3200</v>
      </c>
      <c r="H42">
        <v>1.95</v>
      </c>
      <c r="I42">
        <v>2.0499999999999998</v>
      </c>
      <c r="J42">
        <v>1600</v>
      </c>
      <c r="K42" s="32">
        <v>480</v>
      </c>
      <c r="L42">
        <v>6400</v>
      </c>
      <c r="M42">
        <v>47.05</v>
      </c>
      <c r="N42">
        <v>56.6</v>
      </c>
      <c r="O42">
        <v>6400</v>
      </c>
      <c r="P42" t="s">
        <v>692</v>
      </c>
      <c r="Q42" t="s">
        <v>692</v>
      </c>
      <c r="R42" t="s">
        <v>692</v>
      </c>
      <c r="S42" t="s">
        <v>692</v>
      </c>
      <c r="T42" t="s">
        <v>692</v>
      </c>
      <c r="U42">
        <v>24</v>
      </c>
      <c r="AB42" s="143"/>
      <c r="AC42" s="33"/>
      <c r="AD42" s="33"/>
      <c r="AE42" s="33"/>
      <c r="AF42" s="33"/>
      <c r="AG42" s="33"/>
      <c r="AH42" s="33"/>
      <c r="AI42" s="33"/>
      <c r="AJ42" s="33"/>
      <c r="AK42" s="33"/>
      <c r="AL42" s="33"/>
      <c r="AM42" s="33"/>
      <c r="AN42" s="33"/>
      <c r="AO42" s="33"/>
      <c r="AP42" s="33"/>
      <c r="AQ42" s="33"/>
      <c r="AR42" s="33"/>
      <c r="AS42" s="33"/>
    </row>
    <row r="43" spans="1:45">
      <c r="A43">
        <v>15</v>
      </c>
      <c r="B43">
        <v>3</v>
      </c>
      <c r="C43">
        <v>5</v>
      </c>
      <c r="D43">
        <v>68.489999999999995</v>
      </c>
      <c r="E43">
        <v>2.4</v>
      </c>
      <c r="F43">
        <v>1.3</v>
      </c>
      <c r="G43">
        <v>6400</v>
      </c>
      <c r="H43">
        <v>1.65</v>
      </c>
      <c r="I43">
        <v>1.8</v>
      </c>
      <c r="J43">
        <v>1600</v>
      </c>
      <c r="K43" s="32">
        <v>485</v>
      </c>
      <c r="L43">
        <v>4800</v>
      </c>
      <c r="M43">
        <v>50</v>
      </c>
      <c r="N43">
        <v>63.6</v>
      </c>
      <c r="O43">
        <v>4800</v>
      </c>
      <c r="P43" t="s">
        <v>692</v>
      </c>
      <c r="Q43" t="s">
        <v>692</v>
      </c>
      <c r="R43" t="s">
        <v>692</v>
      </c>
      <c r="S43" t="s">
        <v>692</v>
      </c>
      <c r="T43" t="s">
        <v>692</v>
      </c>
      <c r="U43" t="s">
        <v>692</v>
      </c>
      <c r="AB43" s="143"/>
      <c r="AC43" s="33"/>
      <c r="AD43" s="33"/>
      <c r="AE43" s="33"/>
      <c r="AF43" s="33"/>
      <c r="AG43" s="33"/>
      <c r="AH43" s="33"/>
      <c r="AI43" s="33"/>
      <c r="AJ43" s="33"/>
      <c r="AK43" s="33"/>
      <c r="AL43" s="33"/>
      <c r="AM43" s="33"/>
      <c r="AN43" s="33"/>
      <c r="AO43" s="33"/>
      <c r="AP43" s="33"/>
      <c r="AQ43" s="33"/>
      <c r="AR43" s="33"/>
      <c r="AS43" s="33"/>
    </row>
    <row r="44" spans="1:45">
      <c r="A44">
        <v>142</v>
      </c>
      <c r="B44">
        <v>22</v>
      </c>
      <c r="C44">
        <v>189</v>
      </c>
      <c r="D44">
        <v>61.5</v>
      </c>
      <c r="E44">
        <v>1.5</v>
      </c>
      <c r="F44">
        <v>0.3</v>
      </c>
      <c r="G44">
        <v>12800</v>
      </c>
      <c r="H44">
        <v>1.35</v>
      </c>
      <c r="I44">
        <v>1.45</v>
      </c>
      <c r="J44">
        <v>3200</v>
      </c>
      <c r="K44" s="32">
        <v>490</v>
      </c>
      <c r="L44">
        <v>48000</v>
      </c>
      <c r="M44">
        <v>50.55</v>
      </c>
      <c r="N44">
        <v>69.3</v>
      </c>
      <c r="O44">
        <v>4800</v>
      </c>
      <c r="P44">
        <v>-29.45</v>
      </c>
      <c r="Q44">
        <v>70.55</v>
      </c>
      <c r="R44">
        <v>110.76</v>
      </c>
      <c r="S44">
        <v>1</v>
      </c>
      <c r="T44" t="s">
        <v>692</v>
      </c>
      <c r="U44">
        <v>16</v>
      </c>
      <c r="AB44" s="143"/>
      <c r="AC44" s="33"/>
      <c r="AD44" s="33"/>
      <c r="AE44" s="33"/>
      <c r="AF44" s="33"/>
      <c r="AG44" s="33"/>
      <c r="AH44" s="33"/>
      <c r="AI44" s="33"/>
      <c r="AJ44" s="33"/>
      <c r="AK44" s="33"/>
      <c r="AL44" s="33"/>
      <c r="AM44" s="33"/>
      <c r="AN44" s="33"/>
      <c r="AO44" s="33"/>
      <c r="AP44" s="33"/>
      <c r="AQ44" s="33"/>
      <c r="AR44" s="33"/>
      <c r="AS44" s="33"/>
    </row>
    <row r="45" spans="1:45">
      <c r="A45">
        <v>30</v>
      </c>
      <c r="B45">
        <v>9</v>
      </c>
      <c r="C45">
        <v>29</v>
      </c>
      <c r="D45">
        <v>66.099999999999994</v>
      </c>
      <c r="E45">
        <v>1.35</v>
      </c>
      <c r="F45">
        <v>0.55000000000000004</v>
      </c>
      <c r="G45">
        <v>8000</v>
      </c>
      <c r="H45">
        <v>1.2</v>
      </c>
      <c r="I45">
        <v>1.35</v>
      </c>
      <c r="J45">
        <v>1600</v>
      </c>
      <c r="K45" s="32">
        <v>495</v>
      </c>
      <c r="L45">
        <v>48000</v>
      </c>
      <c r="M45">
        <v>59.95</v>
      </c>
      <c r="N45">
        <v>71.2</v>
      </c>
      <c r="O45">
        <v>4800</v>
      </c>
      <c r="P45">
        <v>-11.1</v>
      </c>
      <c r="Q45">
        <v>74.45</v>
      </c>
      <c r="R45">
        <v>109.53</v>
      </c>
      <c r="S45">
        <v>1</v>
      </c>
      <c r="T45" t="s">
        <v>692</v>
      </c>
      <c r="U45">
        <v>2</v>
      </c>
      <c r="AB45" s="143"/>
      <c r="AC45" s="33"/>
      <c r="AD45" s="33"/>
      <c r="AE45" s="33"/>
      <c r="AF45" s="33"/>
      <c r="AG45" s="33"/>
      <c r="AH45" s="33"/>
      <c r="AI45" s="33"/>
      <c r="AJ45" s="33"/>
      <c r="AK45" s="33"/>
      <c r="AL45" s="33"/>
      <c r="AM45" s="33"/>
      <c r="AN45" s="33"/>
      <c r="AO45" s="33"/>
      <c r="AP45" s="33"/>
      <c r="AQ45" s="33"/>
      <c r="AR45" s="33"/>
      <c r="AS45" s="33"/>
    </row>
    <row r="46" spans="1:45">
      <c r="A46">
        <v>612</v>
      </c>
      <c r="B46">
        <v>25</v>
      </c>
      <c r="C46">
        <v>812</v>
      </c>
      <c r="D46">
        <v>64.489999999999995</v>
      </c>
      <c r="E46">
        <v>1.1499999999999999</v>
      </c>
      <c r="F46">
        <v>0.2</v>
      </c>
      <c r="G46">
        <v>11200</v>
      </c>
      <c r="H46">
        <v>1.1000000000000001</v>
      </c>
      <c r="I46">
        <v>1.2</v>
      </c>
      <c r="J46">
        <v>9600</v>
      </c>
      <c r="K46" s="32">
        <v>500</v>
      </c>
      <c r="L46">
        <v>4800</v>
      </c>
      <c r="M46">
        <v>67</v>
      </c>
      <c r="N46">
        <v>73.2</v>
      </c>
      <c r="O46">
        <v>1600</v>
      </c>
      <c r="P46" t="s">
        <v>692</v>
      </c>
      <c r="Q46" t="s">
        <v>692</v>
      </c>
      <c r="R46" t="s">
        <v>692</v>
      </c>
      <c r="S46" t="s">
        <v>692</v>
      </c>
      <c r="T46" t="s">
        <v>692</v>
      </c>
      <c r="U46">
        <v>72</v>
      </c>
      <c r="AB46" s="143"/>
      <c r="AC46" s="33"/>
      <c r="AD46" s="33"/>
      <c r="AE46" s="33"/>
      <c r="AF46" s="33"/>
      <c r="AG46" s="33"/>
      <c r="AH46" s="33"/>
      <c r="AI46" s="33"/>
      <c r="AJ46" s="33"/>
      <c r="AK46" s="33"/>
      <c r="AL46" s="33"/>
      <c r="AM46" s="33"/>
      <c r="AN46" s="33"/>
      <c r="AO46" s="33"/>
      <c r="AP46" s="33"/>
      <c r="AQ46" s="33"/>
      <c r="AR46" s="33"/>
      <c r="AS46" s="33"/>
    </row>
    <row r="47" spans="1:45">
      <c r="A47">
        <v>13</v>
      </c>
      <c r="B47">
        <v>13</v>
      </c>
      <c r="C47">
        <v>17</v>
      </c>
      <c r="D47">
        <v>67.680000000000007</v>
      </c>
      <c r="E47">
        <v>1</v>
      </c>
      <c r="F47">
        <v>-11.45</v>
      </c>
      <c r="G47">
        <v>8000</v>
      </c>
      <c r="H47">
        <v>0.9</v>
      </c>
      <c r="I47">
        <v>0.95</v>
      </c>
      <c r="J47">
        <v>1600</v>
      </c>
      <c r="K47" s="32">
        <v>505</v>
      </c>
      <c r="L47">
        <v>4800</v>
      </c>
      <c r="M47">
        <v>70.150000000000006</v>
      </c>
      <c r="N47">
        <v>88.15</v>
      </c>
      <c r="O47">
        <v>4800</v>
      </c>
      <c r="P47" t="s">
        <v>692</v>
      </c>
      <c r="Q47" t="s">
        <v>692</v>
      </c>
      <c r="R47" t="s">
        <v>692</v>
      </c>
      <c r="S47" t="s">
        <v>692</v>
      </c>
      <c r="T47" t="s">
        <v>692</v>
      </c>
      <c r="U47" t="s">
        <v>692</v>
      </c>
      <c r="AB47" s="143"/>
      <c r="AC47" s="33"/>
      <c r="AD47" s="33"/>
      <c r="AE47" s="33"/>
      <c r="AF47" s="33"/>
      <c r="AG47" s="33"/>
      <c r="AH47" s="33"/>
      <c r="AI47" s="33"/>
      <c r="AJ47" s="33"/>
      <c r="AK47" s="33"/>
      <c r="AL47" s="33"/>
      <c r="AM47" s="33"/>
      <c r="AN47" s="33"/>
      <c r="AO47" s="33"/>
      <c r="AP47" s="33"/>
      <c r="AQ47" s="33"/>
      <c r="AR47" s="33"/>
      <c r="AS47" s="33"/>
    </row>
    <row r="48" spans="1:45">
      <c r="A48">
        <v>92</v>
      </c>
      <c r="B48">
        <v>26</v>
      </c>
      <c r="C48">
        <v>79</v>
      </c>
      <c r="D48">
        <v>66.8</v>
      </c>
      <c r="E48">
        <v>1</v>
      </c>
      <c r="F48">
        <v>0.3</v>
      </c>
      <c r="G48">
        <v>4800</v>
      </c>
      <c r="H48">
        <v>0.8</v>
      </c>
      <c r="I48">
        <v>0.95</v>
      </c>
      <c r="J48">
        <v>1600</v>
      </c>
      <c r="K48" s="32">
        <v>510</v>
      </c>
      <c r="L48">
        <v>48000</v>
      </c>
      <c r="M48">
        <v>74.150000000000006</v>
      </c>
      <c r="N48">
        <v>91.6</v>
      </c>
      <c r="O48">
        <v>48000</v>
      </c>
      <c r="P48" t="s">
        <v>692</v>
      </c>
      <c r="Q48" t="s">
        <v>692</v>
      </c>
      <c r="R48" t="s">
        <v>692</v>
      </c>
      <c r="S48" t="s">
        <v>692</v>
      </c>
      <c r="T48" t="s">
        <v>692</v>
      </c>
      <c r="U48">
        <v>1</v>
      </c>
      <c r="AB48" s="143"/>
      <c r="AC48" s="33"/>
      <c r="AD48" s="33"/>
      <c r="AE48" s="33"/>
      <c r="AF48" s="33"/>
      <c r="AG48" s="33"/>
      <c r="AH48" s="33"/>
      <c r="AI48" s="33"/>
      <c r="AJ48" s="33"/>
      <c r="AK48" s="33"/>
      <c r="AL48" s="33"/>
      <c r="AM48" s="33"/>
      <c r="AN48" s="33"/>
      <c r="AO48" s="33"/>
      <c r="AP48" s="33"/>
      <c r="AQ48" s="33"/>
      <c r="AR48" s="33"/>
      <c r="AS48" s="33"/>
    </row>
    <row r="49" spans="1:45">
      <c r="A49">
        <v>8</v>
      </c>
      <c r="B49" t="s">
        <v>692</v>
      </c>
      <c r="C49" t="s">
        <v>692</v>
      </c>
      <c r="D49" t="s">
        <v>692</v>
      </c>
      <c r="E49" t="s">
        <v>692</v>
      </c>
      <c r="F49" t="s">
        <v>692</v>
      </c>
      <c r="G49">
        <v>1600</v>
      </c>
      <c r="H49">
        <v>0.45</v>
      </c>
      <c r="I49">
        <v>1.4</v>
      </c>
      <c r="J49">
        <v>1600</v>
      </c>
      <c r="K49" s="32">
        <v>515</v>
      </c>
      <c r="L49">
        <v>48000</v>
      </c>
      <c r="M49">
        <v>79.150000000000006</v>
      </c>
      <c r="N49">
        <v>97.75</v>
      </c>
      <c r="O49">
        <v>48000</v>
      </c>
      <c r="P49" t="s">
        <v>692</v>
      </c>
      <c r="Q49" t="s">
        <v>692</v>
      </c>
      <c r="R49" t="s">
        <v>692</v>
      </c>
      <c r="S49" t="s">
        <v>692</v>
      </c>
      <c r="T49" t="s">
        <v>692</v>
      </c>
      <c r="U49" t="s">
        <v>692</v>
      </c>
      <c r="AB49" s="143"/>
      <c r="AC49" s="33"/>
      <c r="AD49" s="33"/>
      <c r="AE49" s="33"/>
      <c r="AF49" s="33"/>
      <c r="AG49" s="33"/>
      <c r="AH49" s="33"/>
      <c r="AI49" s="33"/>
      <c r="AJ49" s="33"/>
      <c r="AK49" s="33"/>
      <c r="AL49" s="33"/>
      <c r="AM49" s="33"/>
      <c r="AN49" s="33"/>
      <c r="AO49" s="33"/>
      <c r="AP49" s="33"/>
      <c r="AQ49" s="33"/>
      <c r="AR49" s="33"/>
      <c r="AS49" s="33"/>
    </row>
    <row r="50" spans="1:45">
      <c r="A50">
        <v>107</v>
      </c>
      <c r="B50">
        <v>-3</v>
      </c>
      <c r="C50">
        <v>33</v>
      </c>
      <c r="D50">
        <v>66.13</v>
      </c>
      <c r="E50">
        <v>0.4</v>
      </c>
      <c r="F50">
        <v>-0.1</v>
      </c>
      <c r="G50">
        <v>1600</v>
      </c>
      <c r="H50">
        <v>0.4</v>
      </c>
      <c r="I50">
        <v>0.8</v>
      </c>
      <c r="J50">
        <v>3200</v>
      </c>
      <c r="K50" s="32">
        <v>520</v>
      </c>
      <c r="L50">
        <v>1600</v>
      </c>
      <c r="M50">
        <v>89.1</v>
      </c>
      <c r="N50">
        <v>99.15</v>
      </c>
      <c r="O50">
        <v>1600</v>
      </c>
      <c r="P50" t="s">
        <v>692</v>
      </c>
      <c r="Q50" t="s">
        <v>692</v>
      </c>
      <c r="R50" t="s">
        <v>692</v>
      </c>
      <c r="S50" t="s">
        <v>692</v>
      </c>
      <c r="T50" t="s">
        <v>692</v>
      </c>
      <c r="U50">
        <v>10</v>
      </c>
      <c r="AB50" s="143"/>
      <c r="AC50" s="33"/>
      <c r="AD50" s="33"/>
      <c r="AE50" s="33"/>
      <c r="AF50" s="33"/>
      <c r="AG50" s="33"/>
      <c r="AH50" s="33"/>
      <c r="AI50" s="33"/>
      <c r="AJ50" s="33"/>
      <c r="AK50" s="33"/>
      <c r="AL50" s="33"/>
      <c r="AM50" s="33"/>
      <c r="AN50" s="33"/>
      <c r="AO50" s="33"/>
      <c r="AP50" s="33"/>
      <c r="AQ50" s="33"/>
      <c r="AR50" s="33"/>
      <c r="AS50" s="33"/>
    </row>
    <row r="51" spans="1:45">
      <c r="A51">
        <v>18</v>
      </c>
      <c r="B51" t="s">
        <v>692</v>
      </c>
      <c r="C51" t="s">
        <v>692</v>
      </c>
      <c r="D51" t="s">
        <v>692</v>
      </c>
      <c r="E51" t="s">
        <v>692</v>
      </c>
      <c r="F51" t="s">
        <v>692</v>
      </c>
      <c r="G51">
        <v>8000</v>
      </c>
      <c r="H51">
        <v>0.15</v>
      </c>
      <c r="I51">
        <v>3</v>
      </c>
      <c r="J51">
        <v>48000</v>
      </c>
      <c r="K51" s="32">
        <v>525</v>
      </c>
      <c r="L51">
        <v>48000</v>
      </c>
      <c r="M51">
        <v>88.15</v>
      </c>
      <c r="N51">
        <v>111.9</v>
      </c>
      <c r="O51">
        <v>48000</v>
      </c>
      <c r="P51" t="s">
        <v>692</v>
      </c>
      <c r="Q51" t="s">
        <v>692</v>
      </c>
      <c r="R51" t="s">
        <v>692</v>
      </c>
      <c r="S51" t="s">
        <v>692</v>
      </c>
      <c r="T51" t="s">
        <v>692</v>
      </c>
      <c r="U51" t="s">
        <v>692</v>
      </c>
      <c r="AB51" s="143"/>
      <c r="AC51" s="33"/>
      <c r="AD51" s="33"/>
      <c r="AE51" s="33"/>
      <c r="AF51" s="33"/>
      <c r="AG51" s="33"/>
      <c r="AH51" s="33"/>
      <c r="AI51" s="33"/>
      <c r="AJ51" s="33"/>
      <c r="AK51" s="33"/>
      <c r="AL51" s="33"/>
      <c r="AM51" s="33"/>
      <c r="AN51" s="33"/>
      <c r="AO51" s="33"/>
      <c r="AP51" s="33"/>
      <c r="AQ51" s="33"/>
      <c r="AR51" s="33"/>
      <c r="AS51" s="33"/>
    </row>
    <row r="52" spans="1:45">
      <c r="A52">
        <v>57</v>
      </c>
      <c r="B52" t="s">
        <v>692</v>
      </c>
      <c r="C52" t="s">
        <v>692</v>
      </c>
      <c r="D52" t="s">
        <v>692</v>
      </c>
      <c r="E52" t="s">
        <v>692</v>
      </c>
      <c r="F52" t="s">
        <v>692</v>
      </c>
      <c r="G52">
        <v>4800</v>
      </c>
      <c r="H52">
        <v>0.25</v>
      </c>
      <c r="I52">
        <v>1.1000000000000001</v>
      </c>
      <c r="J52">
        <v>3200</v>
      </c>
      <c r="K52" s="32">
        <v>530</v>
      </c>
      <c r="L52">
        <v>48000</v>
      </c>
      <c r="M52">
        <v>92.35</v>
      </c>
      <c r="N52">
        <v>113.9</v>
      </c>
      <c r="O52">
        <v>48000</v>
      </c>
      <c r="P52" t="s">
        <v>692</v>
      </c>
      <c r="Q52" t="s">
        <v>692</v>
      </c>
      <c r="R52" t="s">
        <v>692</v>
      </c>
      <c r="S52" t="s">
        <v>692</v>
      </c>
      <c r="T52" t="s">
        <v>692</v>
      </c>
      <c r="U52">
        <v>1</v>
      </c>
      <c r="AB52" s="143"/>
      <c r="AC52" s="33"/>
      <c r="AD52" s="33"/>
      <c r="AE52" s="33"/>
      <c r="AF52" s="33"/>
      <c r="AG52" s="33"/>
      <c r="AH52" s="33"/>
      <c r="AI52" s="33"/>
      <c r="AJ52" s="33"/>
      <c r="AK52" s="33"/>
      <c r="AL52" s="33"/>
      <c r="AM52" s="33"/>
      <c r="AN52" s="33"/>
      <c r="AO52" s="33"/>
      <c r="AP52" s="33"/>
      <c r="AQ52" s="33"/>
      <c r="AR52" s="33"/>
      <c r="AS52" s="33"/>
    </row>
    <row r="53" spans="1:45">
      <c r="A53" t="s">
        <v>692</v>
      </c>
      <c r="B53" t="s">
        <v>692</v>
      </c>
      <c r="C53" t="s">
        <v>692</v>
      </c>
      <c r="D53" t="s">
        <v>692</v>
      </c>
      <c r="E53" t="s">
        <v>692</v>
      </c>
      <c r="F53" t="s">
        <v>692</v>
      </c>
      <c r="G53">
        <v>3200</v>
      </c>
      <c r="H53">
        <v>0.05</v>
      </c>
      <c r="I53">
        <v>2.35</v>
      </c>
      <c r="J53">
        <v>48000</v>
      </c>
      <c r="K53" s="32">
        <v>535</v>
      </c>
      <c r="L53">
        <v>48000</v>
      </c>
      <c r="M53">
        <v>96.2</v>
      </c>
      <c r="N53">
        <v>119.55</v>
      </c>
      <c r="O53">
        <v>48000</v>
      </c>
      <c r="P53" t="s">
        <v>692</v>
      </c>
      <c r="Q53" t="s">
        <v>692</v>
      </c>
      <c r="R53" t="s">
        <v>692</v>
      </c>
      <c r="S53" t="s">
        <v>692</v>
      </c>
      <c r="T53" t="s">
        <v>692</v>
      </c>
      <c r="U53" t="s">
        <v>692</v>
      </c>
      <c r="AB53" s="143"/>
      <c r="AC53" s="33"/>
      <c r="AD53" s="33"/>
      <c r="AE53" s="33"/>
      <c r="AF53" s="33"/>
      <c r="AG53" s="33"/>
      <c r="AH53" s="33"/>
      <c r="AI53" s="33"/>
      <c r="AJ53" s="33"/>
      <c r="AK53" s="33"/>
      <c r="AL53" s="33"/>
      <c r="AM53" s="33"/>
      <c r="AN53" s="33"/>
      <c r="AO53" s="33"/>
      <c r="AP53" s="33"/>
      <c r="AQ53" s="33"/>
      <c r="AR53" s="33"/>
      <c r="AS53" s="33"/>
    </row>
    <row r="54" spans="1:45">
      <c r="A54">
        <v>23</v>
      </c>
      <c r="B54" t="s">
        <v>692</v>
      </c>
      <c r="C54">
        <v>1</v>
      </c>
      <c r="D54">
        <v>75.06</v>
      </c>
      <c r="E54">
        <v>0.35</v>
      </c>
      <c r="F54" t="s">
        <v>692</v>
      </c>
      <c r="G54">
        <v>16000</v>
      </c>
      <c r="H54">
        <v>0.2</v>
      </c>
      <c r="I54">
        <v>0.35</v>
      </c>
      <c r="J54">
        <v>1600</v>
      </c>
      <c r="K54" s="32">
        <v>540</v>
      </c>
      <c r="L54">
        <v>48000</v>
      </c>
      <c r="M54">
        <v>100.7</v>
      </c>
      <c r="N54">
        <v>127.45</v>
      </c>
      <c r="O54">
        <v>48000</v>
      </c>
      <c r="P54" t="s">
        <v>692</v>
      </c>
      <c r="Q54" t="s">
        <v>692</v>
      </c>
      <c r="R54" t="s">
        <v>692</v>
      </c>
      <c r="S54" t="s">
        <v>692</v>
      </c>
      <c r="T54" t="s">
        <v>692</v>
      </c>
      <c r="U54" t="s">
        <v>692</v>
      </c>
      <c r="AB54" s="143"/>
      <c r="AC54" s="33"/>
      <c r="AD54" s="33"/>
      <c r="AE54" s="33"/>
      <c r="AF54" s="33"/>
      <c r="AG54" s="33"/>
      <c r="AH54" s="33"/>
      <c r="AI54" s="33"/>
      <c r="AJ54" s="33"/>
      <c r="AK54" s="33"/>
      <c r="AL54" s="33"/>
      <c r="AM54" s="33"/>
      <c r="AN54" s="33"/>
      <c r="AO54" s="33"/>
      <c r="AP54" s="33"/>
      <c r="AQ54" s="33"/>
      <c r="AR54" s="33"/>
      <c r="AS54" s="33"/>
    </row>
    <row r="55" spans="1:45">
      <c r="A55" t="s">
        <v>692</v>
      </c>
      <c r="B55" t="s">
        <v>692</v>
      </c>
      <c r="C55" t="s">
        <v>692</v>
      </c>
      <c r="D55" t="s">
        <v>692</v>
      </c>
      <c r="E55" t="s">
        <v>692</v>
      </c>
      <c r="F55" t="s">
        <v>692</v>
      </c>
      <c r="G55">
        <v>3200</v>
      </c>
      <c r="H55">
        <v>0.05</v>
      </c>
      <c r="I55" t="s">
        <v>692</v>
      </c>
      <c r="J55" t="s">
        <v>692</v>
      </c>
      <c r="K55" s="32">
        <v>545</v>
      </c>
      <c r="L55">
        <v>48000</v>
      </c>
      <c r="M55">
        <v>104.95</v>
      </c>
      <c r="N55">
        <v>133.25</v>
      </c>
      <c r="O55">
        <v>48000</v>
      </c>
      <c r="P55" t="s">
        <v>692</v>
      </c>
      <c r="Q55" t="s">
        <v>692</v>
      </c>
      <c r="R55" t="s">
        <v>692</v>
      </c>
      <c r="S55" t="s">
        <v>692</v>
      </c>
      <c r="T55" t="s">
        <v>692</v>
      </c>
      <c r="U55" t="s">
        <v>692</v>
      </c>
    </row>
    <row r="56" spans="1:45">
      <c r="A56">
        <v>97</v>
      </c>
      <c r="B56">
        <v>-10</v>
      </c>
      <c r="C56">
        <v>59</v>
      </c>
      <c r="D56">
        <v>68.040000000000006</v>
      </c>
      <c r="E56">
        <v>0.1</v>
      </c>
      <c r="F56">
        <v>-0.1</v>
      </c>
      <c r="G56">
        <v>1600</v>
      </c>
      <c r="H56">
        <v>0.15</v>
      </c>
      <c r="I56">
        <v>0.25</v>
      </c>
      <c r="J56">
        <v>1600</v>
      </c>
      <c r="K56" s="32">
        <v>550</v>
      </c>
      <c r="L56">
        <v>48000</v>
      </c>
      <c r="M56">
        <v>108.05</v>
      </c>
      <c r="N56">
        <v>136.55000000000001</v>
      </c>
      <c r="O56">
        <v>48000</v>
      </c>
      <c r="P56" t="s">
        <v>692</v>
      </c>
      <c r="Q56" t="s">
        <v>692</v>
      </c>
      <c r="R56" t="s">
        <v>692</v>
      </c>
      <c r="S56" t="s">
        <v>692</v>
      </c>
      <c r="T56" t="s">
        <v>692</v>
      </c>
      <c r="U56">
        <v>1</v>
      </c>
    </row>
    <row r="57" spans="1:45">
      <c r="A57" t="s">
        <v>692</v>
      </c>
      <c r="B57" t="s">
        <v>692</v>
      </c>
      <c r="C57" t="s">
        <v>692</v>
      </c>
      <c r="D57" t="s">
        <v>692</v>
      </c>
      <c r="E57" t="s">
        <v>692</v>
      </c>
      <c r="F57" t="s">
        <v>692</v>
      </c>
      <c r="G57" t="s">
        <v>692</v>
      </c>
      <c r="H57" t="s">
        <v>692</v>
      </c>
      <c r="I57">
        <v>2.35</v>
      </c>
      <c r="J57">
        <v>48000</v>
      </c>
      <c r="K57" s="32">
        <v>555</v>
      </c>
      <c r="L57">
        <v>48000</v>
      </c>
      <c r="M57">
        <v>114.45</v>
      </c>
      <c r="N57">
        <v>142.85</v>
      </c>
      <c r="O57">
        <v>48000</v>
      </c>
      <c r="P57" t="s">
        <v>692</v>
      </c>
      <c r="Q57" t="s">
        <v>692</v>
      </c>
      <c r="R57" t="s">
        <v>692</v>
      </c>
      <c r="S57" t="s">
        <v>692</v>
      </c>
      <c r="T57" t="s">
        <v>692</v>
      </c>
      <c r="U57" t="s">
        <v>692</v>
      </c>
    </row>
    <row r="58" spans="1:45">
      <c r="A58">
        <v>8</v>
      </c>
      <c r="B58">
        <v>-3</v>
      </c>
      <c r="C58">
        <v>7</v>
      </c>
      <c r="D58">
        <v>75.81</v>
      </c>
      <c r="E58">
        <v>0.15</v>
      </c>
      <c r="F58">
        <v>-1.55</v>
      </c>
      <c r="G58">
        <v>1600</v>
      </c>
      <c r="H58">
        <v>0.1</v>
      </c>
      <c r="I58">
        <v>1.1000000000000001</v>
      </c>
      <c r="J58">
        <v>3200</v>
      </c>
      <c r="K58" s="32">
        <v>560</v>
      </c>
      <c r="L58">
        <v>48000</v>
      </c>
      <c r="M58">
        <v>118.85</v>
      </c>
      <c r="N58">
        <v>147.75</v>
      </c>
      <c r="O58">
        <v>48000</v>
      </c>
      <c r="P58" t="s">
        <v>692</v>
      </c>
      <c r="Q58" t="s">
        <v>692</v>
      </c>
      <c r="R58" t="s">
        <v>692</v>
      </c>
      <c r="S58" t="s">
        <v>692</v>
      </c>
      <c r="T58" t="s">
        <v>692</v>
      </c>
      <c r="U58" t="s">
        <v>692</v>
      </c>
    </row>
    <row r="59" spans="1:45">
      <c r="A59" t="s">
        <v>692</v>
      </c>
      <c r="B59" t="s">
        <v>692</v>
      </c>
      <c r="C59" t="s">
        <v>692</v>
      </c>
      <c r="D59" t="s">
        <v>692</v>
      </c>
      <c r="E59" t="s">
        <v>692</v>
      </c>
      <c r="F59" t="s">
        <v>692</v>
      </c>
      <c r="G59" t="s">
        <v>692</v>
      </c>
      <c r="H59" t="s">
        <v>692</v>
      </c>
      <c r="I59" t="s">
        <v>692</v>
      </c>
      <c r="J59" t="s">
        <v>692</v>
      </c>
      <c r="K59" s="32">
        <v>565</v>
      </c>
      <c r="L59">
        <v>48000</v>
      </c>
      <c r="M59">
        <v>122.65</v>
      </c>
      <c r="N59">
        <v>153.30000000000001</v>
      </c>
      <c r="O59">
        <v>48000</v>
      </c>
      <c r="P59" t="s">
        <v>692</v>
      </c>
      <c r="Q59" t="s">
        <v>692</v>
      </c>
      <c r="R59" t="s">
        <v>692</v>
      </c>
      <c r="S59" t="s">
        <v>692</v>
      </c>
      <c r="T59" t="s">
        <v>692</v>
      </c>
      <c r="U59" t="s">
        <v>692</v>
      </c>
    </row>
    <row r="60" spans="1:45">
      <c r="A60">
        <v>14</v>
      </c>
      <c r="B60" t="s">
        <v>692</v>
      </c>
      <c r="C60">
        <v>1</v>
      </c>
      <c r="D60">
        <v>85.41</v>
      </c>
      <c r="E60">
        <v>0.25</v>
      </c>
      <c r="F60">
        <v>-0.25</v>
      </c>
      <c r="G60">
        <v>1600</v>
      </c>
      <c r="H60">
        <v>0.2</v>
      </c>
      <c r="I60">
        <v>2.65</v>
      </c>
      <c r="J60">
        <v>1600</v>
      </c>
      <c r="K60" s="32">
        <v>570</v>
      </c>
      <c r="L60">
        <v>48000</v>
      </c>
      <c r="M60">
        <v>127.3</v>
      </c>
      <c r="N60">
        <v>158.35</v>
      </c>
      <c r="O60">
        <v>48000</v>
      </c>
      <c r="P60" t="s">
        <v>692</v>
      </c>
      <c r="Q60" t="s">
        <v>692</v>
      </c>
      <c r="R60" t="s">
        <v>692</v>
      </c>
      <c r="S60" t="s">
        <v>692</v>
      </c>
      <c r="T60" t="s">
        <v>692</v>
      </c>
      <c r="U60" t="s">
        <v>692</v>
      </c>
    </row>
    <row r="61" spans="1:45">
      <c r="A61" t="s">
        <v>692</v>
      </c>
      <c r="B61" t="s">
        <v>692</v>
      </c>
      <c r="C61" t="s">
        <v>692</v>
      </c>
      <c r="D61" t="s">
        <v>692</v>
      </c>
      <c r="E61" t="s">
        <v>692</v>
      </c>
      <c r="F61" t="s">
        <v>692</v>
      </c>
      <c r="G61" t="s">
        <v>692</v>
      </c>
      <c r="H61" t="s">
        <v>692</v>
      </c>
      <c r="I61">
        <v>2.25</v>
      </c>
      <c r="J61">
        <v>48000</v>
      </c>
      <c r="K61" s="32">
        <v>575</v>
      </c>
      <c r="L61">
        <v>48000</v>
      </c>
      <c r="M61">
        <v>131.5</v>
      </c>
      <c r="N61">
        <v>167.45</v>
      </c>
      <c r="O61">
        <v>48000</v>
      </c>
      <c r="P61" t="s">
        <v>692</v>
      </c>
      <c r="Q61" t="s">
        <v>692</v>
      </c>
      <c r="R61" t="s">
        <v>692</v>
      </c>
      <c r="S61" t="s">
        <v>692</v>
      </c>
      <c r="T61" t="s">
        <v>692</v>
      </c>
      <c r="U61" t="s">
        <v>692</v>
      </c>
    </row>
    <row r="62" spans="1:45">
      <c r="A62">
        <v>9</v>
      </c>
      <c r="B62" t="s">
        <v>692</v>
      </c>
      <c r="C62" t="s">
        <v>692</v>
      </c>
      <c r="D62" t="s">
        <v>692</v>
      </c>
      <c r="E62" t="s">
        <v>692</v>
      </c>
      <c r="F62" t="s">
        <v>692</v>
      </c>
      <c r="G62">
        <v>1600</v>
      </c>
      <c r="H62">
        <v>0.05</v>
      </c>
      <c r="I62">
        <v>3.05</v>
      </c>
      <c r="J62">
        <v>1600</v>
      </c>
      <c r="K62" s="32">
        <v>580</v>
      </c>
      <c r="L62">
        <v>48000</v>
      </c>
      <c r="M62">
        <v>136</v>
      </c>
      <c r="N62">
        <v>173.1</v>
      </c>
      <c r="O62">
        <v>48000</v>
      </c>
      <c r="P62" t="s">
        <v>692</v>
      </c>
      <c r="Q62" t="s">
        <v>692</v>
      </c>
      <c r="R62" t="s">
        <v>692</v>
      </c>
      <c r="S62" t="s">
        <v>692</v>
      </c>
      <c r="T62" t="s">
        <v>692</v>
      </c>
      <c r="U62" t="s">
        <v>692</v>
      </c>
    </row>
    <row r="63" spans="1:45">
      <c r="A63" t="s">
        <v>692</v>
      </c>
      <c r="B63" t="s">
        <v>692</v>
      </c>
      <c r="C63" t="s">
        <v>692</v>
      </c>
      <c r="D63" t="s">
        <v>692</v>
      </c>
      <c r="E63" t="s">
        <v>692</v>
      </c>
      <c r="F63" t="s">
        <v>692</v>
      </c>
      <c r="G63" t="s">
        <v>692</v>
      </c>
      <c r="H63" t="s">
        <v>692</v>
      </c>
      <c r="I63">
        <v>2.95</v>
      </c>
      <c r="J63">
        <v>3200</v>
      </c>
      <c r="K63" s="32">
        <v>590</v>
      </c>
      <c r="L63">
        <v>48000</v>
      </c>
      <c r="M63">
        <v>145.25</v>
      </c>
      <c r="N63">
        <v>183.8</v>
      </c>
      <c r="O63">
        <v>48000</v>
      </c>
      <c r="P63" t="s">
        <v>692</v>
      </c>
      <c r="Q63" t="s">
        <v>692</v>
      </c>
      <c r="R63" t="s">
        <v>692</v>
      </c>
      <c r="S63" t="s">
        <v>692</v>
      </c>
      <c r="T63" t="s">
        <v>692</v>
      </c>
      <c r="U63" t="s">
        <v>692</v>
      </c>
    </row>
    <row r="64" spans="1:45">
      <c r="A64">
        <v>28</v>
      </c>
      <c r="B64" t="s">
        <v>692</v>
      </c>
      <c r="C64">
        <v>1</v>
      </c>
      <c r="D64">
        <v>92.32</v>
      </c>
      <c r="E64">
        <v>0.15</v>
      </c>
      <c r="F64" t="s">
        <v>692</v>
      </c>
      <c r="G64">
        <v>1600</v>
      </c>
      <c r="H64">
        <v>0.1</v>
      </c>
      <c r="I64">
        <v>0.4</v>
      </c>
      <c r="J64">
        <v>1600</v>
      </c>
      <c r="K64" s="32">
        <v>600</v>
      </c>
      <c r="L64">
        <v>48000</v>
      </c>
      <c r="M64">
        <v>160.30000000000001</v>
      </c>
      <c r="N64">
        <v>193.55</v>
      </c>
      <c r="O64">
        <v>48000</v>
      </c>
      <c r="P64" t="s">
        <v>692</v>
      </c>
      <c r="Q64" t="s">
        <v>692</v>
      </c>
      <c r="R64" t="s">
        <v>692</v>
      </c>
      <c r="S64" t="s">
        <v>692</v>
      </c>
      <c r="T64" t="s">
        <v>692</v>
      </c>
      <c r="U64" t="s">
        <v>692</v>
      </c>
    </row>
    <row r="65" spans="1:21">
      <c r="A65" t="s">
        <v>692</v>
      </c>
      <c r="B65" t="s">
        <v>692</v>
      </c>
      <c r="C65" t="s">
        <v>692</v>
      </c>
      <c r="D65" t="s">
        <v>692</v>
      </c>
      <c r="E65" t="s">
        <v>692</v>
      </c>
      <c r="F65" t="s">
        <v>692</v>
      </c>
      <c r="G65" t="s">
        <v>692</v>
      </c>
      <c r="H65" t="s">
        <v>692</v>
      </c>
      <c r="I65" t="s">
        <v>692</v>
      </c>
      <c r="J65" t="s">
        <v>692</v>
      </c>
      <c r="K65" s="32">
        <v>610</v>
      </c>
      <c r="L65">
        <v>48000</v>
      </c>
      <c r="M65">
        <v>168.55</v>
      </c>
      <c r="N65">
        <v>204.6</v>
      </c>
      <c r="O65">
        <v>48000</v>
      </c>
      <c r="P65" t="s">
        <v>692</v>
      </c>
      <c r="Q65" t="s">
        <v>692</v>
      </c>
      <c r="R65" t="s">
        <v>692</v>
      </c>
      <c r="S65" t="s">
        <v>692</v>
      </c>
      <c r="T65" t="s">
        <v>692</v>
      </c>
      <c r="U65" t="s">
        <v>692</v>
      </c>
    </row>
    <row r="66" spans="1:21">
      <c r="A66">
        <v>3</v>
      </c>
      <c r="B66" t="s">
        <v>692</v>
      </c>
      <c r="C66" t="s">
        <v>692</v>
      </c>
      <c r="D66" t="s">
        <v>692</v>
      </c>
      <c r="E66" t="s">
        <v>692</v>
      </c>
      <c r="F66" t="s">
        <v>692</v>
      </c>
      <c r="G66" t="s">
        <v>692</v>
      </c>
      <c r="H66" t="s">
        <v>692</v>
      </c>
      <c r="I66">
        <v>1.45</v>
      </c>
      <c r="J66">
        <v>1600</v>
      </c>
      <c r="K66" s="32">
        <v>620</v>
      </c>
      <c r="L66">
        <v>48000</v>
      </c>
      <c r="M66">
        <v>178.25</v>
      </c>
      <c r="N66">
        <v>218.25</v>
      </c>
      <c r="O66">
        <v>48000</v>
      </c>
      <c r="P66" t="s">
        <v>692</v>
      </c>
      <c r="Q66" t="s">
        <v>692</v>
      </c>
      <c r="R66" t="s">
        <v>692</v>
      </c>
      <c r="S66" t="s">
        <v>692</v>
      </c>
      <c r="T66" t="s">
        <v>692</v>
      </c>
      <c r="U66" t="s">
        <v>692</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2:AL316"/>
  <sheetViews>
    <sheetView zoomScale="85" zoomScaleNormal="85" workbookViewId="0">
      <selection activeCell="A18" sqref="A18"/>
    </sheetView>
  </sheetViews>
  <sheetFormatPr defaultRowHeight="15.75" outlineLevelRow="1"/>
  <cols>
    <col min="1" max="1" width="4" style="11" customWidth="1"/>
    <col min="2" max="2" width="17.85546875" style="11" bestFit="1" customWidth="1"/>
    <col min="3" max="4" width="5.5703125" style="22" customWidth="1"/>
    <col min="5" max="5" width="8" style="22" customWidth="1"/>
    <col min="6" max="6" width="13.28515625" style="11" customWidth="1"/>
    <col min="7" max="7" width="11.7109375" style="11" bestFit="1" customWidth="1"/>
    <col min="8" max="8" width="11.140625" style="11" customWidth="1"/>
    <col min="9" max="10" width="11.7109375" style="11" bestFit="1" customWidth="1"/>
    <col min="11" max="11" width="10.85546875" style="11" bestFit="1" customWidth="1"/>
    <col min="12" max="12" width="10.85546875" style="11" customWidth="1"/>
    <col min="13" max="13" width="13.140625" style="11" bestFit="1" customWidth="1"/>
    <col min="14" max="15" width="13.140625" style="11" customWidth="1"/>
    <col min="16" max="16" width="17.85546875" style="11" customWidth="1"/>
    <col min="17" max="17" width="15" style="11" hidden="1" customWidth="1"/>
    <col min="18" max="18" width="14.42578125" style="11" bestFit="1" customWidth="1"/>
    <col min="19" max="19" width="14.5703125" style="11" bestFit="1" customWidth="1"/>
    <col min="20" max="20" width="13.85546875" style="11" bestFit="1" customWidth="1"/>
    <col min="21" max="21" width="11.7109375" style="11" bestFit="1" customWidth="1"/>
    <col min="22" max="22" width="13.85546875" style="11" bestFit="1" customWidth="1"/>
    <col min="23" max="23" width="13.42578125" style="11" bestFit="1" customWidth="1"/>
    <col min="24" max="24" width="13.42578125" style="11" hidden="1" customWidth="1"/>
    <col min="25" max="25" width="13.42578125" style="11" customWidth="1"/>
    <col min="26" max="26" width="12.42578125" style="11" bestFit="1" customWidth="1"/>
    <col min="27" max="30" width="11.7109375" style="11" bestFit="1" customWidth="1"/>
    <col min="31" max="31" width="11.7109375" style="11" hidden="1" customWidth="1"/>
    <col min="32" max="38" width="11.7109375" style="11" bestFit="1" customWidth="1"/>
    <col min="39" max="16384" width="9.140625" style="11"/>
  </cols>
  <sheetData>
    <row r="2" spans="1:38" ht="30">
      <c r="B2" s="150">
        <f ca="1">TODAY()</f>
        <v>45184</v>
      </c>
      <c r="E2" s="185" t="s">
        <v>51</v>
      </c>
      <c r="F2" s="185"/>
      <c r="G2" s="130" t="s">
        <v>52</v>
      </c>
      <c r="H2" s="179" t="s">
        <v>604</v>
      </c>
      <c r="I2" s="180"/>
      <c r="J2" s="179" t="s">
        <v>611</v>
      </c>
      <c r="K2" s="180"/>
      <c r="L2" s="166"/>
      <c r="M2" s="157" t="s">
        <v>629</v>
      </c>
      <c r="N2" s="157"/>
      <c r="O2" s="157"/>
      <c r="P2" s="130" t="s">
        <v>117</v>
      </c>
      <c r="T2" s="99"/>
      <c r="W2" s="18"/>
      <c r="X2" s="18"/>
    </row>
    <row r="3" spans="1:38">
      <c r="E3" s="186">
        <f>SUM(P8:P100)</f>
        <v>-35998.086479999962</v>
      </c>
      <c r="F3" s="186"/>
      <c r="G3" s="98">
        <f>E3/AVERAGEIF(R8:R100,"&gt;0",R8:R100)</f>
        <v>-6.1164067564400834E-2</v>
      </c>
      <c r="H3" s="183">
        <f>J3+E3</f>
        <v>16441.913520000031</v>
      </c>
      <c r="I3" s="184"/>
      <c r="J3" s="183">
        <f>SUMIFS(R8:R100,C8:C100,"S",K8:K100,0)</f>
        <v>52439.999999999993</v>
      </c>
      <c r="K3" s="184"/>
      <c r="L3" s="167"/>
      <c r="M3" s="98">
        <f>J3/P3</f>
        <v>3.3642907748818118E-2</v>
      </c>
      <c r="N3" s="98"/>
      <c r="O3" s="98"/>
      <c r="P3" s="165">
        <v>1558723.77</v>
      </c>
      <c r="S3" s="29"/>
      <c r="W3" s="152"/>
      <c r="X3" s="152"/>
    </row>
    <row r="4" spans="1:38">
      <c r="W4" s="152"/>
      <c r="X4" s="152"/>
    </row>
    <row r="5" spans="1:38">
      <c r="W5" s="29"/>
      <c r="X5" s="29"/>
      <c r="Y5" s="29"/>
    </row>
    <row r="6" spans="1:38">
      <c r="M6" s="149">
        <v>0.25</v>
      </c>
      <c r="N6" s="168"/>
      <c r="O6" s="168"/>
      <c r="R6" s="149">
        <f t="array" ref="R6">SUM(IF(ISERROR(R8:R100),"",R8:R100))</f>
        <v>3531297.5</v>
      </c>
      <c r="S6" s="162">
        <f t="array" ref="S6">SUM(IF(ISERROR(S8:S100),"",S8:S100))</f>
        <v>0</v>
      </c>
      <c r="T6" s="163">
        <f>S6/$J$3</f>
        <v>0</v>
      </c>
      <c r="U6" s="11">
        <v>0.9</v>
      </c>
      <c r="Z6" s="161">
        <f t="array" aca="1" ref="Z6" ca="1">SUM(IF(ISERROR(Z8:Z100),"",Z8:Z100))</f>
        <v>0</v>
      </c>
      <c r="AA6" s="161">
        <f t="array" ref="AA6">SUM(IF(ISERROR(AA8:AA100),"",AA8:AA100))</f>
        <v>6600</v>
      </c>
      <c r="AB6" s="161">
        <f t="array" aca="1" ref="AB6" ca="1">SUM(IF(ISERROR(AB8:AB100),"",AB8:AB100))</f>
        <v>0</v>
      </c>
      <c r="AC6" s="161" t="e">
        <f>SUMPRODUCT($R$8:$R100,AC8:AC100)/SUM($R$8:$R$100)</f>
        <v>#VALUE!</v>
      </c>
    </row>
    <row r="7" spans="1:38">
      <c r="A7" s="118">
        <v>0</v>
      </c>
      <c r="B7" s="118" t="s">
        <v>19</v>
      </c>
      <c r="C7" s="118" t="s">
        <v>1</v>
      </c>
      <c r="D7" s="118" t="s">
        <v>636</v>
      </c>
      <c r="E7" s="12" t="s">
        <v>540</v>
      </c>
      <c r="F7" s="118" t="s">
        <v>21</v>
      </c>
      <c r="G7" s="130" t="s">
        <v>22</v>
      </c>
      <c r="H7" s="130" t="s">
        <v>78</v>
      </c>
      <c r="I7" s="130" t="s">
        <v>483</v>
      </c>
      <c r="J7" s="130" t="s">
        <v>23</v>
      </c>
      <c r="K7" s="130" t="s">
        <v>49</v>
      </c>
      <c r="L7" s="130" t="s">
        <v>633</v>
      </c>
      <c r="M7" s="130" t="s">
        <v>614</v>
      </c>
      <c r="N7" s="130" t="s">
        <v>500</v>
      </c>
      <c r="O7" s="130" t="s">
        <v>637</v>
      </c>
      <c r="P7" s="130" t="s">
        <v>51</v>
      </c>
      <c r="Q7" s="130" t="s">
        <v>50</v>
      </c>
      <c r="R7" s="130" t="s">
        <v>20</v>
      </c>
      <c r="S7" s="130" t="s">
        <v>626</v>
      </c>
      <c r="T7" s="12" t="s">
        <v>627</v>
      </c>
      <c r="U7" s="130" t="s">
        <v>628</v>
      </c>
      <c r="V7" s="130" t="s">
        <v>548</v>
      </c>
      <c r="W7" s="130" t="s">
        <v>505</v>
      </c>
      <c r="X7" s="130"/>
      <c r="Y7" s="130" t="s">
        <v>487</v>
      </c>
      <c r="Z7" s="130" t="s">
        <v>503</v>
      </c>
      <c r="AA7" s="130" t="s">
        <v>500</v>
      </c>
      <c r="AB7" s="130" t="s">
        <v>75</v>
      </c>
      <c r="AC7" s="130" t="s">
        <v>77</v>
      </c>
      <c r="AD7" s="130" t="s">
        <v>537</v>
      </c>
      <c r="AE7" s="12" t="s">
        <v>549</v>
      </c>
      <c r="AF7" s="130" t="s">
        <v>5</v>
      </c>
      <c r="AG7" s="130" t="s">
        <v>14</v>
      </c>
      <c r="AH7" s="130" t="s">
        <v>9</v>
      </c>
      <c r="AI7" s="130" t="s">
        <v>10</v>
      </c>
      <c r="AJ7" s="130" t="s">
        <v>11</v>
      </c>
      <c r="AK7" s="130" t="s">
        <v>12</v>
      </c>
      <c r="AL7" s="12" t="s">
        <v>53</v>
      </c>
    </row>
    <row r="8" spans="1:38" s="114" customFormat="1" ht="15" customHeight="1" outlineLevel="1">
      <c r="A8" s="13">
        <f t="shared" ref="A8:A72" si="0">A7+1</f>
        <v>1</v>
      </c>
      <c r="B8" s="123">
        <v>44574</v>
      </c>
      <c r="C8" s="116" t="s">
        <v>6</v>
      </c>
      <c r="D8" s="115" t="s">
        <v>634</v>
      </c>
      <c r="E8" s="115" t="s">
        <v>632</v>
      </c>
      <c r="F8" s="116" t="s">
        <v>126</v>
      </c>
      <c r="G8" s="115"/>
      <c r="H8" s="117">
        <v>44588</v>
      </c>
      <c r="I8" s="115">
        <v>3750</v>
      </c>
      <c r="J8" s="115">
        <v>272.75</v>
      </c>
      <c r="K8" s="115">
        <v>0</v>
      </c>
      <c r="L8" s="115">
        <v>285</v>
      </c>
      <c r="M8" s="156">
        <f>J8+(L8-J8)*$M$6*IF(C8="B",-1,1)</f>
        <v>269.6875</v>
      </c>
      <c r="N8" s="156">
        <f>IF($E8="FUT",1,OptionDelta(LEFT(E8),VALUE(V8),G8,AE8,RISKFREE_RATE,W8,0))*IF(C8="B",1,-1)</f>
        <v>1</v>
      </c>
      <c r="O8" s="156">
        <f>1/N8</f>
        <v>1</v>
      </c>
      <c r="P8" s="119">
        <f t="shared" ref="P8:P9" si="1">IF(AND(K8&lt;&gt;0,I8&lt;&gt;0),(IF(C8="B",1,-1))*(K8-J8)*I8,0)</f>
        <v>0</v>
      </c>
      <c r="Q8" s="115">
        <f t="shared" ref="Q8:Q10" si="2">K8/$J8</f>
        <v>0</v>
      </c>
      <c r="R8" s="160">
        <f t="shared" ref="R8:R71" si="3">$J8*$I8</f>
        <v>1022812.5</v>
      </c>
      <c r="S8" s="160" t="e">
        <f t="shared" ref="S8:S13" si="4">(Y8-J8)*I8*IF(C8="B",1,-1)*IF(K8=0,1,0)</f>
        <v>#N/A</v>
      </c>
      <c r="T8" s="120">
        <f t="shared" ref="T8:T11" si="5">IFERROR(S8/R8,0)</f>
        <v>0</v>
      </c>
      <c r="U8" s="119">
        <f t="shared" ref="U8:U13" si="6">(1-$U$6)*J8</f>
        <v>27.274999999999995</v>
      </c>
      <c r="V8" s="115" t="e">
        <f>VLOOKUP($F8,Reference!$B$2:$D$182,2,0)</f>
        <v>#VALUE!</v>
      </c>
      <c r="W8" s="120">
        <f t="shared" ref="W8:W11" si="7">AD8</f>
        <v>0</v>
      </c>
      <c r="X8" s="120" t="str">
        <f t="shared" ref="X8:X13" si="8">TRIM(E8)&amp;TRIM(F8)&amp;TRIM(G8)&amp;TRIM(H8)</f>
        <v>FUTIEX44588</v>
      </c>
      <c r="Y8" s="158" t="e">
        <f>VLOOKUP(X8,Reference!$F$10:$G$34,2,0)</f>
        <v>#N/A</v>
      </c>
      <c r="Z8" s="160" t="e">
        <f t="shared" ref="Z8:Z13" si="9">IF($E8="FUT",Y8,OptionPrice(LEFT($E8),$V8,$G8,$AE8,RISKFREE_RATE,$W8,NIFTY_DIVYLD))*IF(C8="B",1,-1)*IF(I8=0,0,1)*IF(K8=0,1,0)*I8</f>
        <v>#N/A</v>
      </c>
      <c r="AA8" s="160">
        <f t="shared" ref="AA8:AA13" si="10">IF($E8="FUT",1,OptionDelta(LEFT(E8),V8,G8,AE8,RISKFREE_RATE,W8,NIFTY_DIVYLD))*IF(C8="B",1,-1)*IF(I8=0,0,1)*IF(K8=0,1,0)*I8</f>
        <v>3750</v>
      </c>
      <c r="AB8" s="160">
        <f t="shared" ref="AB8:AB13" si="11">IF($E8="FUT",0,OptionTheta(LEFT(E8),V8,G8,AE8,RISKFREE_RATE,W8,NIFTY_DIVYLD))*IF(C8="B",1,-1)*IF(I8=0,0,1)*IF(K8=0,1,0)*I8</f>
        <v>0</v>
      </c>
      <c r="AC8" s="160">
        <f t="shared" ref="AC8:AC13" si="12">IF($E8="FUT",0,OptionGamma(V8,G8,AE8,RISKFREE_RATE,W8,NIFTY_DIVYLD))*IF(C8="B",1,-1)*IF(I8=0,0,1)*IF(K8=0,1,0)</f>
        <v>0</v>
      </c>
      <c r="AD8" s="119">
        <f>IF($E8="FUT",0,ImpliedVolatility(LEFT(E8),V8,G8,RISKFREE_RATE,AE8,NIFTY_DIVYLD,Y8,24%))</f>
        <v>0</v>
      </c>
      <c r="AE8" s="115">
        <f t="shared" ref="AE8:AE13" ca="1" si="13">(H8-TODAY())/365</f>
        <v>-1.6328767123287671</v>
      </c>
      <c r="AF8" s="115">
        <f t="shared" ref="AF8:AF13" si="14">IF(I8&lt;&gt;0,20,0)</f>
        <v>20</v>
      </c>
      <c r="AG8" s="115">
        <f t="shared" ref="AG8:AG13" si="15">0.053%*$R8</f>
        <v>542.09062499999993</v>
      </c>
      <c r="AH8" s="115">
        <f t="shared" ref="AH8:AH11" si="16">18%*(AF8+AG8)</f>
        <v>101.17631249999998</v>
      </c>
      <c r="AI8" s="115">
        <f t="shared" ref="AI8:AI13" si="17">0.05%*$R8*(IF($C8="B",0,1))</f>
        <v>0</v>
      </c>
      <c r="AJ8" s="115">
        <f t="shared" ref="AJ8:AJ13" si="18">10/10000000*$R8</f>
        <v>1.0228124999999999</v>
      </c>
      <c r="AK8" s="115">
        <f t="shared" ref="AK8:AK13" si="19">300/10000000*$R8*(IF($C8="B",1,0))</f>
        <v>30.684374999999999</v>
      </c>
      <c r="AL8" s="115">
        <f t="shared" ref="AL8:AL11" si="20">SUM(AF8:AK8)</f>
        <v>694.97412499999996</v>
      </c>
    </row>
    <row r="9" spans="1:38" ht="15" customHeight="1" outlineLevel="1">
      <c r="A9" s="13">
        <f t="shared" si="0"/>
        <v>2</v>
      </c>
      <c r="B9" s="123">
        <v>44574</v>
      </c>
      <c r="C9" s="116" t="s">
        <v>8</v>
      </c>
      <c r="D9" s="115" t="s">
        <v>634</v>
      </c>
      <c r="E9" s="115" t="s">
        <v>481</v>
      </c>
      <c r="F9" s="116" t="s">
        <v>126</v>
      </c>
      <c r="G9" s="115">
        <v>310</v>
      </c>
      <c r="H9" s="117">
        <v>44588</v>
      </c>
      <c r="I9" s="115">
        <v>3750</v>
      </c>
      <c r="J9" s="115">
        <v>2.08</v>
      </c>
      <c r="K9" s="115">
        <v>2.1</v>
      </c>
      <c r="L9" s="115">
        <v>2.1</v>
      </c>
      <c r="M9" s="156">
        <f t="shared" ref="M9:M10" si="21">J9+(L9-J9)*$M$6*IF(C9="B",-1,1)</f>
        <v>2.085</v>
      </c>
      <c r="N9" s="156" t="e">
        <f>IF($E9="FUT",1,OptionDelta(LEFT(E9),VALUE(V9),G9,AE9,RISKFREE_RATE,W9,0))*IF(C9="B",1,-1)</f>
        <v>#VALUE!</v>
      </c>
      <c r="O9" s="156" t="e">
        <f>1/N9</f>
        <v>#VALUE!</v>
      </c>
      <c r="P9" s="119">
        <f t="shared" si="1"/>
        <v>-75.000000000000071</v>
      </c>
      <c r="Q9" s="115">
        <f t="shared" si="2"/>
        <v>1.0096153846153846</v>
      </c>
      <c r="R9" s="160">
        <f t="shared" si="3"/>
        <v>7800</v>
      </c>
      <c r="S9" s="160" t="e">
        <f t="shared" si="4"/>
        <v>#N/A</v>
      </c>
      <c r="T9" s="120">
        <f t="shared" si="5"/>
        <v>0</v>
      </c>
      <c r="U9" s="119">
        <f t="shared" si="6"/>
        <v>0.20799999999999996</v>
      </c>
      <c r="V9" s="115" t="e">
        <f>VLOOKUP($F9,Reference!$B$2:$D$182,2,0)</f>
        <v>#VALUE!</v>
      </c>
      <c r="W9" s="120" t="e">
        <f t="shared" ca="1" si="7"/>
        <v>#VALUE!</v>
      </c>
      <c r="X9" s="120" t="str">
        <f t="shared" si="8"/>
        <v>CEIEX31044588</v>
      </c>
      <c r="Y9" s="158" t="e">
        <f>VLOOKUP(X9,Reference!$F$10:$G$54,2,0)</f>
        <v>#N/A</v>
      </c>
      <c r="Z9" s="160" t="e">
        <f t="shared" ca="1" si="9"/>
        <v>#VALUE!</v>
      </c>
      <c r="AA9" s="160" t="e">
        <f t="shared" si="10"/>
        <v>#VALUE!</v>
      </c>
      <c r="AB9" s="160" t="e">
        <f t="shared" ca="1" si="11"/>
        <v>#VALUE!</v>
      </c>
      <c r="AC9" s="160" t="e">
        <f t="shared" si="12"/>
        <v>#VALUE!</v>
      </c>
      <c r="AD9" s="119" t="e">
        <f ca="1">IF($E9="FUT",0,ImpliedVolatility(LEFT(E9),V9,G9,RISKFREE_RATE,AE9,0,Y9,56%))</f>
        <v>#VALUE!</v>
      </c>
      <c r="AE9" s="115">
        <f t="shared" ca="1" si="13"/>
        <v>-1.6328767123287671</v>
      </c>
      <c r="AF9" s="115">
        <f t="shared" si="14"/>
        <v>20</v>
      </c>
      <c r="AG9" s="115">
        <f t="shared" si="15"/>
        <v>4.1339999999999995</v>
      </c>
      <c r="AH9" s="115">
        <f t="shared" si="16"/>
        <v>4.3441200000000002</v>
      </c>
      <c r="AI9" s="115">
        <f t="shared" si="17"/>
        <v>3.9</v>
      </c>
      <c r="AJ9" s="115">
        <f t="shared" si="18"/>
        <v>7.7999999999999996E-3</v>
      </c>
      <c r="AK9" s="115">
        <f t="shared" si="19"/>
        <v>0</v>
      </c>
      <c r="AL9" s="115">
        <f t="shared" si="20"/>
        <v>32.385920000000006</v>
      </c>
    </row>
    <row r="10" spans="1:38" outlineLevel="1">
      <c r="A10" s="13">
        <f t="shared" si="0"/>
        <v>3</v>
      </c>
      <c r="B10" s="123">
        <v>44564</v>
      </c>
      <c r="C10" s="116" t="s">
        <v>8</v>
      </c>
      <c r="D10" s="115" t="s">
        <v>635</v>
      </c>
      <c r="E10" s="115" t="s">
        <v>481</v>
      </c>
      <c r="F10" s="116" t="s">
        <v>502</v>
      </c>
      <c r="G10" s="115">
        <v>18000</v>
      </c>
      <c r="H10" s="117">
        <v>44588</v>
      </c>
      <c r="I10" s="115">
        <v>500</v>
      </c>
      <c r="J10" s="115">
        <v>70.7</v>
      </c>
      <c r="K10" s="115">
        <f>157-6.25</f>
        <v>150.75</v>
      </c>
      <c r="L10" s="115">
        <f>157-6.25</f>
        <v>150.75</v>
      </c>
      <c r="M10" s="156">
        <f t="shared" si="21"/>
        <v>90.712500000000006</v>
      </c>
      <c r="N10" s="156"/>
      <c r="O10" s="156"/>
      <c r="P10" s="119">
        <f>IF(AND(K10&lt;&gt;0,I10&lt;&gt;0),(IF(C10="B",1,-1))*(K10-J10)*I10-AL10*2,0)</f>
        <v>-40151.836479999998</v>
      </c>
      <c r="Q10" s="115">
        <f t="shared" si="2"/>
        <v>2.132248939179632</v>
      </c>
      <c r="R10" s="160">
        <f t="shared" si="3"/>
        <v>35350</v>
      </c>
      <c r="S10" s="160" t="e">
        <f t="shared" si="4"/>
        <v>#N/A</v>
      </c>
      <c r="T10" s="120">
        <f t="shared" si="5"/>
        <v>0</v>
      </c>
      <c r="U10" s="119">
        <f t="shared" si="6"/>
        <v>7.0699999999999985</v>
      </c>
      <c r="V10" s="115" t="str">
        <f>VLOOKUP($F10,Reference!$B$2:$D$182,2,0)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W10" s="120" t="e">
        <f t="shared" ca="1" si="7"/>
        <v>#VALUE!</v>
      </c>
      <c r="X10" s="120" t="str">
        <f t="shared" si="8"/>
        <v>CENIFTY1800044588</v>
      </c>
      <c r="Y10" s="158" t="e">
        <f>VLOOKUP(X10,Reference!$F$10:$G$34,2,0)</f>
        <v>#N/A</v>
      </c>
      <c r="Z10" s="160" t="e">
        <f t="shared" ca="1" si="9"/>
        <v>#VALUE!</v>
      </c>
      <c r="AA10" s="160" t="e">
        <f t="shared" si="10"/>
        <v>#VALUE!</v>
      </c>
      <c r="AB10" s="160" t="e">
        <f t="shared" ca="1" si="11"/>
        <v>#VALUE!</v>
      </c>
      <c r="AC10" s="160" t="e">
        <f t="shared" si="12"/>
        <v>#VALUE!</v>
      </c>
      <c r="AD10" s="119" t="e">
        <f ca="1">IF($E10="FUT",0,ImpliedVolatility(LEFT(E10),V10,G10,RISKFREE_RATE,AE10,NIFTY_DIVYLD,Y10,24%))</f>
        <v>#VALUE!</v>
      </c>
      <c r="AE10" s="115">
        <f t="shared" ca="1" si="13"/>
        <v>-1.6328767123287671</v>
      </c>
      <c r="AF10" s="115">
        <f t="shared" si="14"/>
        <v>20</v>
      </c>
      <c r="AG10" s="115">
        <f t="shared" si="15"/>
        <v>18.735499999999998</v>
      </c>
      <c r="AH10" s="115">
        <f t="shared" si="16"/>
        <v>6.9723899999999999</v>
      </c>
      <c r="AI10" s="115">
        <f t="shared" si="17"/>
        <v>17.675000000000001</v>
      </c>
      <c r="AJ10" s="115">
        <f t="shared" si="18"/>
        <v>3.5349999999999999E-2</v>
      </c>
      <c r="AK10" s="115">
        <f t="shared" si="19"/>
        <v>0</v>
      </c>
      <c r="AL10" s="115">
        <f t="shared" si="20"/>
        <v>63.418240000000004</v>
      </c>
    </row>
    <row r="11" spans="1:38" outlineLevel="1">
      <c r="A11" s="13">
        <f>A10+1</f>
        <v>4</v>
      </c>
      <c r="B11" s="123">
        <v>44572</v>
      </c>
      <c r="C11" s="116" t="s">
        <v>6</v>
      </c>
      <c r="D11" s="115" t="s">
        <v>635</v>
      </c>
      <c r="E11" s="115" t="s">
        <v>632</v>
      </c>
      <c r="F11" s="116" t="s">
        <v>506</v>
      </c>
      <c r="G11" s="115"/>
      <c r="H11" s="117">
        <v>44616</v>
      </c>
      <c r="I11" s="115">
        <v>25</v>
      </c>
      <c r="J11" s="115">
        <v>38529.699999999997</v>
      </c>
      <c r="K11" s="115">
        <v>38698.85</v>
      </c>
      <c r="L11" s="115">
        <v>38698.85</v>
      </c>
      <c r="M11" s="156">
        <f>J11+(L11-J11)*$M$6*IF(C11="B",-1,1)</f>
        <v>38487.412499999999</v>
      </c>
      <c r="N11" s="156"/>
      <c r="O11" s="156"/>
      <c r="P11" s="119">
        <f>IF(AND(K11&lt;&gt;0,I11&lt;&gt;0),(IF(C11="B",1,-1))*(K11-J11)*I11,0)</f>
        <v>4228.7500000000364</v>
      </c>
      <c r="Q11" s="115">
        <f>K11/$J11</f>
        <v>1.0043901198296379</v>
      </c>
      <c r="R11" s="160">
        <f t="shared" si="3"/>
        <v>963242.49999999988</v>
      </c>
      <c r="S11" s="160" t="e">
        <f t="shared" si="4"/>
        <v>#N/A</v>
      </c>
      <c r="T11" s="120">
        <f t="shared" si="5"/>
        <v>0</v>
      </c>
      <c r="U11" s="119">
        <f t="shared" si="6"/>
        <v>3852.9699999999989</v>
      </c>
      <c r="V11" s="115" t="str">
        <f>VLOOKUP($F11,Reference!$B$2:$D$182,2,0)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W11" s="120">
        <f t="shared" si="7"/>
        <v>0</v>
      </c>
      <c r="X11" s="120" t="str">
        <f t="shared" si="8"/>
        <v>FUTBANKNIFTY44616</v>
      </c>
      <c r="Y11" s="158" t="e">
        <f>VLOOKUP(X11,Reference!$F$10:$G$34,2,0)</f>
        <v>#N/A</v>
      </c>
      <c r="Z11" s="160" t="e">
        <f t="shared" si="9"/>
        <v>#N/A</v>
      </c>
      <c r="AA11" s="160">
        <f t="shared" si="10"/>
        <v>0</v>
      </c>
      <c r="AB11" s="160">
        <f t="shared" si="11"/>
        <v>0</v>
      </c>
      <c r="AC11" s="160">
        <f t="shared" si="12"/>
        <v>0</v>
      </c>
      <c r="AD11" s="119">
        <f>IF($E11="FUT",0,ImpliedVolatility(LEFT(E11),V11,G11,RISKFREE_RATE,AE11,NIFTY_DIVYLD,Y11,24%))</f>
        <v>0</v>
      </c>
      <c r="AE11" s="115">
        <f t="shared" ca="1" si="13"/>
        <v>-1.5561643835616439</v>
      </c>
      <c r="AF11" s="115">
        <f t="shared" si="14"/>
        <v>20</v>
      </c>
      <c r="AG11" s="115">
        <f t="shared" si="15"/>
        <v>510.5185249999999</v>
      </c>
      <c r="AH11" s="115">
        <f t="shared" si="16"/>
        <v>95.493334499999989</v>
      </c>
      <c r="AI11" s="115">
        <f t="shared" si="17"/>
        <v>0</v>
      </c>
      <c r="AJ11" s="115">
        <f t="shared" si="18"/>
        <v>0.96324249999999989</v>
      </c>
      <c r="AK11" s="115">
        <f t="shared" si="19"/>
        <v>28.897274999999997</v>
      </c>
      <c r="AL11" s="115">
        <f t="shared" si="20"/>
        <v>655.87237699999991</v>
      </c>
    </row>
    <row r="12" spans="1:38" outlineLevel="1">
      <c r="A12" s="13">
        <f t="shared" si="0"/>
        <v>5</v>
      </c>
      <c r="B12" s="123">
        <v>44574</v>
      </c>
      <c r="C12" s="116" t="s">
        <v>6</v>
      </c>
      <c r="D12" s="116" t="s">
        <v>634</v>
      </c>
      <c r="E12" s="115" t="s">
        <v>632</v>
      </c>
      <c r="F12" s="116" t="s">
        <v>284</v>
      </c>
      <c r="G12" s="115"/>
      <c r="H12" s="117">
        <v>44616</v>
      </c>
      <c r="I12" s="115">
        <v>2850</v>
      </c>
      <c r="J12" s="115">
        <v>508.65</v>
      </c>
      <c r="K12" s="115">
        <v>0</v>
      </c>
      <c r="L12" s="115">
        <v>530</v>
      </c>
      <c r="M12" s="156">
        <f>J12+(L12-J12)*$M$6*IF(C12="B",-1,1)</f>
        <v>503.3125</v>
      </c>
      <c r="N12" s="156">
        <f>IF($E12="FUT",1,OptionDelta(LEFT(E12),VALUE(V12),G12,AE12,RISKFREE_RATE,W12,0))*IF(C12="B",1,-1)</f>
        <v>1</v>
      </c>
      <c r="O12" s="156">
        <f>1/N12</f>
        <v>1</v>
      </c>
      <c r="P12" s="119">
        <f t="shared" ref="P12:P13" si="22">IF(AND(K12&lt;&gt;0,I12&lt;&gt;0),(IF(C12="B",1,-1))*(K12-J12)*I12,0)</f>
        <v>0</v>
      </c>
      <c r="Q12" s="115">
        <f t="shared" ref="Q12:Q13" si="23">K12/$J12</f>
        <v>0</v>
      </c>
      <c r="R12" s="160">
        <f t="shared" si="3"/>
        <v>1449652.5</v>
      </c>
      <c r="S12" s="160" t="e">
        <f t="shared" si="4"/>
        <v>#N/A</v>
      </c>
      <c r="T12" s="120">
        <f t="shared" ref="T12:T13" si="24">IFERROR(S12/R12,0)</f>
        <v>0</v>
      </c>
      <c r="U12" s="119">
        <f t="shared" si="6"/>
        <v>50.864999999999988</v>
      </c>
      <c r="V12" s="115" t="e">
        <f>VLOOKUP($F12,Reference!$B$2:$D$182,2,0)</f>
        <v>#VALUE!</v>
      </c>
      <c r="W12" s="120">
        <f t="shared" ref="W12:W13" si="25">AD12</f>
        <v>0</v>
      </c>
      <c r="X12" s="120" t="str">
        <f t="shared" si="8"/>
        <v>FUTTATAMOTORS44616</v>
      </c>
      <c r="Y12" s="158" t="e">
        <f>VLOOKUP(X12,Reference!$F$10:$G$34,2,0)</f>
        <v>#N/A</v>
      </c>
      <c r="Z12" s="160" t="e">
        <f t="shared" si="9"/>
        <v>#N/A</v>
      </c>
      <c r="AA12" s="160">
        <f t="shared" si="10"/>
        <v>2850</v>
      </c>
      <c r="AB12" s="160">
        <f t="shared" si="11"/>
        <v>0</v>
      </c>
      <c r="AC12" s="160">
        <f t="shared" si="12"/>
        <v>0</v>
      </c>
      <c r="AD12" s="119">
        <f>IF($E12="FUT",0,ImpliedVolatility(LEFT(E12),V12,G12,RISKFREE_RATE,AE12,NIFTY_DIVYLD,Y12,24%))</f>
        <v>0</v>
      </c>
      <c r="AE12" s="115">
        <f t="shared" ca="1" si="13"/>
        <v>-1.5561643835616439</v>
      </c>
      <c r="AF12" s="115">
        <f t="shared" si="14"/>
        <v>20</v>
      </c>
      <c r="AG12" s="115">
        <f t="shared" si="15"/>
        <v>768.31582500000002</v>
      </c>
      <c r="AH12" s="115">
        <f t="shared" ref="AH12:AH13" si="26">18%*(AF12+AG12)</f>
        <v>141.8968485</v>
      </c>
      <c r="AI12" s="115">
        <f t="shared" si="17"/>
        <v>0</v>
      </c>
      <c r="AJ12" s="115">
        <f t="shared" si="18"/>
        <v>1.4496525</v>
      </c>
      <c r="AK12" s="115">
        <f t="shared" si="19"/>
        <v>43.489575000000002</v>
      </c>
      <c r="AL12" s="115">
        <f t="shared" ref="AL12:AL13" si="27">SUM(AF12:AK12)</f>
        <v>975.15190099999995</v>
      </c>
    </row>
    <row r="13" spans="1:38" outlineLevel="1">
      <c r="A13" s="13">
        <f t="shared" si="0"/>
        <v>6</v>
      </c>
      <c r="B13" s="123">
        <v>44574</v>
      </c>
      <c r="C13" s="116" t="s">
        <v>8</v>
      </c>
      <c r="D13" s="116" t="s">
        <v>634</v>
      </c>
      <c r="E13" s="115" t="s">
        <v>481</v>
      </c>
      <c r="F13" s="116" t="s">
        <v>284</v>
      </c>
      <c r="G13" s="115">
        <v>540</v>
      </c>
      <c r="H13" s="117">
        <v>44588</v>
      </c>
      <c r="I13" s="115">
        <f>I12*4</f>
        <v>11400</v>
      </c>
      <c r="J13" s="115">
        <v>4.5999999999999996</v>
      </c>
      <c r="K13" s="115">
        <v>0</v>
      </c>
      <c r="L13" s="115">
        <v>0</v>
      </c>
      <c r="M13" s="156">
        <f t="shared" ref="M13" si="28">J13+(L13-J13)*$M$6*IF(C13="B",-1,1)</f>
        <v>3.4499999999999997</v>
      </c>
      <c r="N13" s="156" t="e">
        <f>IF($E13="FUT",1,OptionDelta(LEFT(E13),VALUE(V13),G13,AE13,RISKFREE_RATE,W13,0))*IF(C13="B",1,-1)</f>
        <v>#VALUE!</v>
      </c>
      <c r="O13" s="156" t="e">
        <f>1/N13</f>
        <v>#VALUE!</v>
      </c>
      <c r="P13" s="119">
        <f t="shared" si="22"/>
        <v>0</v>
      </c>
      <c r="Q13" s="115">
        <f t="shared" si="23"/>
        <v>0</v>
      </c>
      <c r="R13" s="160">
        <f t="shared" si="3"/>
        <v>52439.999999999993</v>
      </c>
      <c r="S13" s="160" t="e">
        <f t="shared" si="4"/>
        <v>#N/A</v>
      </c>
      <c r="T13" s="120">
        <f t="shared" si="24"/>
        <v>0</v>
      </c>
      <c r="U13" s="119">
        <f t="shared" si="6"/>
        <v>0.45999999999999985</v>
      </c>
      <c r="V13" s="115" t="e">
        <f>VLOOKUP($F13,Reference!$B$2:$D$182,2,0)</f>
        <v>#VALUE!</v>
      </c>
      <c r="W13" s="120" t="e">
        <f t="shared" ca="1" si="25"/>
        <v>#VALUE!</v>
      </c>
      <c r="X13" s="120" t="str">
        <f t="shared" si="8"/>
        <v>CETATAMOTORS54044588</v>
      </c>
      <c r="Y13" s="158" t="e">
        <f>VLOOKUP(X13,Reference!$F$10:$G$54,2,0)</f>
        <v>#N/A</v>
      </c>
      <c r="Z13" s="160" t="e">
        <f t="shared" ca="1" si="9"/>
        <v>#VALUE!</v>
      </c>
      <c r="AA13" s="160" t="e">
        <f t="shared" si="10"/>
        <v>#VALUE!</v>
      </c>
      <c r="AB13" s="160" t="e">
        <f t="shared" ca="1" si="11"/>
        <v>#VALUE!</v>
      </c>
      <c r="AC13" s="160" t="e">
        <f t="shared" si="12"/>
        <v>#VALUE!</v>
      </c>
      <c r="AD13" s="119" t="e">
        <f ca="1">IF($E13="FUT",0,ImpliedVolatility(LEFT(E13),V13,G13,RISKFREE_RATE,AE13,0,Y13,56%))</f>
        <v>#VALUE!</v>
      </c>
      <c r="AE13" s="115">
        <f t="shared" ca="1" si="13"/>
        <v>-1.6328767123287671</v>
      </c>
      <c r="AF13" s="115">
        <f t="shared" si="14"/>
        <v>20</v>
      </c>
      <c r="AG13" s="115">
        <f t="shared" si="15"/>
        <v>27.793199999999995</v>
      </c>
      <c r="AH13" s="115">
        <f t="shared" si="26"/>
        <v>8.6027759999999986</v>
      </c>
      <c r="AI13" s="115">
        <f t="shared" si="17"/>
        <v>26.219999999999995</v>
      </c>
      <c r="AJ13" s="115">
        <f t="shared" si="18"/>
        <v>5.2439999999999994E-2</v>
      </c>
      <c r="AK13" s="115">
        <f t="shared" si="19"/>
        <v>0</v>
      </c>
      <c r="AL13" s="115">
        <f t="shared" si="27"/>
        <v>82.668415999999993</v>
      </c>
    </row>
    <row r="14" spans="1:38" outlineLevel="1">
      <c r="A14" s="13">
        <f t="shared" si="0"/>
        <v>7</v>
      </c>
      <c r="B14" s="123"/>
      <c r="C14" s="116"/>
      <c r="D14" s="116"/>
      <c r="E14" s="115"/>
      <c r="F14" s="116"/>
      <c r="G14" s="115"/>
      <c r="H14" s="117"/>
      <c r="I14" s="115"/>
      <c r="J14" s="115"/>
      <c r="K14" s="115"/>
      <c r="L14" s="115"/>
      <c r="M14" s="156"/>
      <c r="N14" s="156"/>
      <c r="O14" s="156"/>
      <c r="P14" s="119"/>
      <c r="Q14" s="115"/>
      <c r="R14" s="160"/>
      <c r="S14" s="160"/>
      <c r="T14" s="120"/>
      <c r="U14" s="119"/>
      <c r="V14" s="115"/>
      <c r="W14" s="120"/>
      <c r="X14" s="120"/>
      <c r="Y14" s="158"/>
      <c r="Z14" s="160"/>
      <c r="AA14" s="160"/>
      <c r="AB14" s="160"/>
      <c r="AC14" s="160"/>
      <c r="AD14" s="119"/>
      <c r="AE14" s="115"/>
      <c r="AF14" s="115"/>
      <c r="AG14" s="115"/>
      <c r="AH14" s="115"/>
      <c r="AI14" s="115"/>
      <c r="AJ14" s="115"/>
      <c r="AK14" s="115"/>
      <c r="AL14" s="115"/>
    </row>
    <row r="15" spans="1:38" outlineLevel="1">
      <c r="A15" s="13">
        <f t="shared" si="0"/>
        <v>8</v>
      </c>
      <c r="B15" s="123"/>
      <c r="C15" s="116"/>
      <c r="D15" s="116"/>
      <c r="E15" s="115"/>
      <c r="F15" s="116"/>
      <c r="G15" s="115"/>
      <c r="H15" s="117"/>
      <c r="I15" s="115"/>
      <c r="J15" s="115"/>
      <c r="K15" s="115"/>
      <c r="L15" s="115"/>
      <c r="M15" s="156"/>
      <c r="N15" s="156"/>
      <c r="O15" s="156"/>
      <c r="P15" s="119"/>
      <c r="Q15" s="115"/>
      <c r="R15" s="160"/>
      <c r="S15" s="160"/>
      <c r="T15" s="120"/>
      <c r="U15" s="119"/>
      <c r="V15" s="115"/>
      <c r="W15" s="120"/>
      <c r="X15" s="120"/>
      <c r="Y15" s="158"/>
      <c r="Z15" s="160"/>
      <c r="AA15" s="160"/>
      <c r="AB15" s="160"/>
      <c r="AC15" s="160"/>
      <c r="AD15" s="119"/>
      <c r="AE15" s="115"/>
      <c r="AF15" s="115"/>
      <c r="AG15" s="115"/>
      <c r="AH15" s="115"/>
      <c r="AI15" s="115"/>
      <c r="AJ15" s="115"/>
      <c r="AK15" s="115"/>
      <c r="AL15" s="115"/>
    </row>
    <row r="16" spans="1:38" outlineLevel="1">
      <c r="A16" s="13">
        <f t="shared" si="0"/>
        <v>9</v>
      </c>
      <c r="B16" s="123"/>
      <c r="C16" s="116"/>
      <c r="D16" s="116"/>
      <c r="E16" s="115"/>
      <c r="F16" s="116"/>
      <c r="G16" s="115"/>
      <c r="H16" s="117"/>
      <c r="I16" s="115"/>
      <c r="J16" s="115"/>
      <c r="K16" s="115"/>
      <c r="L16" s="115"/>
      <c r="M16" s="156"/>
      <c r="N16" s="156"/>
      <c r="O16" s="156"/>
      <c r="P16" s="119"/>
      <c r="Q16" s="115"/>
      <c r="R16" s="160"/>
      <c r="S16" s="160"/>
      <c r="T16" s="120"/>
      <c r="U16" s="119"/>
      <c r="V16" s="115"/>
      <c r="W16" s="120"/>
      <c r="X16" s="120"/>
      <c r="Y16" s="158"/>
      <c r="Z16" s="160"/>
      <c r="AA16" s="160"/>
      <c r="AB16" s="160"/>
      <c r="AC16" s="160"/>
      <c r="AD16" s="119"/>
      <c r="AE16" s="115"/>
      <c r="AF16" s="115"/>
      <c r="AG16" s="115"/>
      <c r="AH16" s="115"/>
      <c r="AI16" s="115"/>
      <c r="AJ16" s="115"/>
      <c r="AK16" s="115"/>
      <c r="AL16" s="115"/>
    </row>
    <row r="17" spans="1:38" outlineLevel="1">
      <c r="A17" s="13">
        <f t="shared" si="0"/>
        <v>10</v>
      </c>
      <c r="B17" s="123"/>
      <c r="C17" s="116"/>
      <c r="D17" s="116"/>
      <c r="E17" s="115"/>
      <c r="F17" s="116"/>
      <c r="G17" s="115"/>
      <c r="H17" s="117"/>
      <c r="I17" s="115"/>
      <c r="J17" s="115"/>
      <c r="K17" s="115"/>
      <c r="L17" s="115"/>
      <c r="M17" s="156"/>
      <c r="N17" s="156"/>
      <c r="O17" s="156"/>
      <c r="P17" s="119"/>
      <c r="Q17" s="115"/>
      <c r="R17" s="160"/>
      <c r="S17" s="160"/>
      <c r="T17" s="120"/>
      <c r="U17" s="119"/>
      <c r="V17" s="115"/>
      <c r="W17" s="120"/>
      <c r="X17" s="120"/>
      <c r="Y17" s="158"/>
      <c r="Z17" s="160"/>
      <c r="AA17" s="160"/>
      <c r="AB17" s="160"/>
      <c r="AC17" s="160"/>
      <c r="AD17" s="119"/>
      <c r="AE17" s="115"/>
      <c r="AF17" s="115"/>
      <c r="AG17" s="115"/>
      <c r="AH17" s="115"/>
      <c r="AI17" s="115"/>
      <c r="AJ17" s="115"/>
      <c r="AK17" s="115"/>
      <c r="AL17" s="115"/>
    </row>
    <row r="18" spans="1:38" outlineLevel="1">
      <c r="A18" s="13">
        <f t="shared" si="0"/>
        <v>11</v>
      </c>
      <c r="B18" s="123"/>
      <c r="C18" s="116"/>
      <c r="D18" s="116"/>
      <c r="E18" s="115"/>
      <c r="F18" s="116"/>
      <c r="G18" s="115"/>
      <c r="H18" s="117"/>
      <c r="I18" s="115"/>
      <c r="J18" s="115"/>
      <c r="K18" s="115"/>
      <c r="L18" s="115"/>
      <c r="M18" s="156"/>
      <c r="N18" s="156"/>
      <c r="O18" s="156"/>
      <c r="P18" s="119"/>
      <c r="Q18" s="115"/>
      <c r="R18" s="160"/>
      <c r="S18" s="160"/>
      <c r="T18" s="120"/>
      <c r="U18" s="119"/>
      <c r="V18" s="115"/>
      <c r="W18" s="120"/>
      <c r="X18" s="120"/>
      <c r="Y18" s="158"/>
      <c r="Z18" s="160"/>
      <c r="AA18" s="160"/>
      <c r="AB18" s="160"/>
      <c r="AC18" s="160"/>
      <c r="AD18" s="119"/>
      <c r="AE18" s="115"/>
      <c r="AF18" s="115"/>
      <c r="AG18" s="115"/>
      <c r="AH18" s="115"/>
      <c r="AI18" s="115"/>
      <c r="AJ18" s="115"/>
      <c r="AK18" s="115"/>
      <c r="AL18" s="115"/>
    </row>
    <row r="19" spans="1:38" outlineLevel="1">
      <c r="A19" s="13">
        <f>A18+1</f>
        <v>12</v>
      </c>
      <c r="B19" s="123"/>
      <c r="C19" s="116"/>
      <c r="D19" s="116"/>
      <c r="E19" s="115"/>
      <c r="F19" s="116"/>
      <c r="G19" s="115"/>
      <c r="H19" s="117"/>
      <c r="I19" s="115"/>
      <c r="J19" s="115"/>
      <c r="K19" s="115"/>
      <c r="L19" s="115"/>
      <c r="M19" s="156"/>
      <c r="N19" s="156"/>
      <c r="O19" s="156"/>
      <c r="P19" s="119"/>
      <c r="Q19" s="115"/>
      <c r="R19" s="160"/>
      <c r="S19" s="160"/>
      <c r="T19" s="120"/>
      <c r="U19" s="119"/>
      <c r="V19" s="115"/>
      <c r="W19" s="120"/>
      <c r="X19" s="120"/>
      <c r="Y19" s="158"/>
      <c r="Z19" s="160"/>
      <c r="AA19" s="160"/>
      <c r="AB19" s="160"/>
      <c r="AC19" s="160"/>
      <c r="AD19" s="119"/>
      <c r="AE19" s="115"/>
      <c r="AF19" s="115"/>
      <c r="AG19" s="115"/>
      <c r="AH19" s="115"/>
      <c r="AI19" s="115"/>
      <c r="AJ19" s="115"/>
      <c r="AK19" s="115"/>
      <c r="AL19" s="115"/>
    </row>
    <row r="20" spans="1:38" outlineLevel="1">
      <c r="A20" s="13">
        <f t="shared" si="0"/>
        <v>13</v>
      </c>
      <c r="B20" s="123"/>
      <c r="C20" s="116"/>
      <c r="D20" s="116"/>
      <c r="E20" s="115"/>
      <c r="F20" s="116"/>
      <c r="G20" s="115"/>
      <c r="H20" s="117"/>
      <c r="I20" s="115"/>
      <c r="J20" s="115"/>
      <c r="K20" s="115"/>
      <c r="L20" s="115"/>
      <c r="M20" s="156"/>
      <c r="N20" s="156"/>
      <c r="O20" s="156"/>
      <c r="P20" s="160"/>
      <c r="Q20" s="115"/>
      <c r="R20" s="160"/>
      <c r="S20" s="160"/>
      <c r="T20" s="120"/>
      <c r="U20" s="119"/>
      <c r="V20" s="115"/>
      <c r="W20" s="120"/>
      <c r="X20" s="120"/>
      <c r="Y20" s="158"/>
      <c r="Z20" s="160"/>
      <c r="AA20" s="160"/>
      <c r="AB20" s="160"/>
      <c r="AC20" s="160"/>
      <c r="AD20" s="119"/>
      <c r="AE20" s="115"/>
      <c r="AF20" s="115"/>
      <c r="AG20" s="115"/>
      <c r="AH20" s="115"/>
      <c r="AI20" s="115"/>
      <c r="AJ20" s="115"/>
      <c r="AK20" s="115"/>
      <c r="AL20" s="115"/>
    </row>
    <row r="21" spans="1:38" outlineLevel="1">
      <c r="A21" s="13">
        <f t="shared" si="0"/>
        <v>14</v>
      </c>
      <c r="B21" s="123"/>
      <c r="C21" s="116"/>
      <c r="D21" s="116"/>
      <c r="E21" s="115"/>
      <c r="F21" s="116"/>
      <c r="G21" s="115"/>
      <c r="H21" s="117"/>
      <c r="I21" s="115"/>
      <c r="J21" s="115"/>
      <c r="K21" s="115"/>
      <c r="L21" s="115"/>
      <c r="M21" s="156"/>
      <c r="N21" s="156"/>
      <c r="O21" s="156"/>
      <c r="P21" s="119"/>
      <c r="Q21" s="115"/>
      <c r="R21" s="160"/>
      <c r="S21" s="160"/>
      <c r="T21" s="120"/>
      <c r="U21" s="119"/>
      <c r="V21" s="115"/>
      <c r="W21" s="120"/>
      <c r="X21" s="120"/>
      <c r="Y21" s="158"/>
      <c r="Z21" s="160"/>
      <c r="AA21" s="160"/>
      <c r="AB21" s="160"/>
      <c r="AC21" s="160"/>
      <c r="AD21" s="119"/>
      <c r="AE21" s="115"/>
      <c r="AF21" s="115"/>
      <c r="AG21" s="115"/>
      <c r="AH21" s="115"/>
      <c r="AI21" s="115"/>
      <c r="AJ21" s="115"/>
      <c r="AK21" s="115"/>
      <c r="AL21" s="115"/>
    </row>
    <row r="22" spans="1:38" outlineLevel="1">
      <c r="A22" s="13">
        <f t="shared" si="0"/>
        <v>15</v>
      </c>
      <c r="B22" s="123"/>
      <c r="C22" s="116"/>
      <c r="D22" s="116"/>
      <c r="E22" s="115"/>
      <c r="F22" s="116"/>
      <c r="G22" s="115"/>
      <c r="H22" s="117"/>
      <c r="I22" s="115"/>
      <c r="J22" s="115"/>
      <c r="K22" s="115"/>
      <c r="L22" s="115"/>
      <c r="M22" s="156"/>
      <c r="N22" s="156"/>
      <c r="O22" s="156"/>
      <c r="P22" s="119"/>
      <c r="Q22" s="115"/>
      <c r="R22" s="160"/>
      <c r="S22" s="160"/>
      <c r="T22" s="120"/>
      <c r="U22" s="119"/>
      <c r="V22" s="115"/>
      <c r="W22" s="120"/>
      <c r="X22" s="120"/>
      <c r="Y22" s="158"/>
      <c r="Z22" s="160"/>
      <c r="AA22" s="160"/>
      <c r="AB22" s="160"/>
      <c r="AC22" s="160"/>
      <c r="AD22" s="119"/>
      <c r="AE22" s="115"/>
      <c r="AF22" s="115"/>
      <c r="AG22" s="115"/>
      <c r="AH22" s="115"/>
      <c r="AI22" s="115"/>
      <c r="AJ22" s="115"/>
      <c r="AK22" s="115"/>
      <c r="AL22" s="115"/>
    </row>
    <row r="23" spans="1:38" outlineLevel="1">
      <c r="A23" s="13">
        <f t="shared" si="0"/>
        <v>16</v>
      </c>
      <c r="B23" s="123"/>
      <c r="C23" s="116"/>
      <c r="D23" s="116"/>
      <c r="E23" s="115"/>
      <c r="F23" s="116"/>
      <c r="G23" s="115"/>
      <c r="H23" s="117"/>
      <c r="I23" s="115"/>
      <c r="J23" s="115"/>
      <c r="K23" s="115"/>
      <c r="L23" s="115"/>
      <c r="M23" s="156"/>
      <c r="N23" s="156"/>
      <c r="O23" s="156"/>
      <c r="P23" s="119"/>
      <c r="Q23" s="115"/>
      <c r="R23" s="160"/>
      <c r="S23" s="160"/>
      <c r="T23" s="120"/>
      <c r="U23" s="119"/>
      <c r="V23" s="115"/>
      <c r="W23" s="120"/>
      <c r="X23" s="120"/>
      <c r="Y23" s="158"/>
      <c r="Z23" s="160"/>
      <c r="AA23" s="160"/>
      <c r="AB23" s="160"/>
      <c r="AC23" s="160"/>
      <c r="AD23" s="119"/>
      <c r="AE23" s="115"/>
      <c r="AF23" s="115"/>
      <c r="AG23" s="115"/>
      <c r="AH23" s="115"/>
      <c r="AI23" s="115"/>
      <c r="AJ23" s="115"/>
      <c r="AK23" s="115"/>
      <c r="AL23" s="115"/>
    </row>
    <row r="24" spans="1:38" outlineLevel="1">
      <c r="A24" s="13">
        <f t="shared" si="0"/>
        <v>17</v>
      </c>
      <c r="B24" s="123"/>
      <c r="C24" s="116"/>
      <c r="D24" s="116"/>
      <c r="E24" s="115"/>
      <c r="F24" s="116"/>
      <c r="G24" s="115"/>
      <c r="H24" s="117"/>
      <c r="I24" s="115"/>
      <c r="J24" s="115"/>
      <c r="K24" s="115"/>
      <c r="L24" s="115"/>
      <c r="M24" s="156"/>
      <c r="N24" s="156"/>
      <c r="O24" s="156"/>
      <c r="P24" s="119"/>
      <c r="Q24" s="115"/>
      <c r="R24" s="160"/>
      <c r="S24" s="160"/>
      <c r="T24" s="120"/>
      <c r="U24" s="119"/>
      <c r="V24" s="115"/>
      <c r="W24" s="120"/>
      <c r="X24" s="120"/>
      <c r="Y24" s="158"/>
      <c r="Z24" s="160"/>
      <c r="AA24" s="160"/>
      <c r="AB24" s="160"/>
      <c r="AC24" s="160"/>
      <c r="AD24" s="119"/>
      <c r="AE24" s="115"/>
      <c r="AF24" s="115"/>
      <c r="AG24" s="115"/>
      <c r="AH24" s="115"/>
      <c r="AI24" s="115"/>
      <c r="AJ24" s="115"/>
      <c r="AK24" s="115"/>
      <c r="AL24" s="115"/>
    </row>
    <row r="25" spans="1:38" outlineLevel="1">
      <c r="A25" s="13">
        <f t="shared" si="0"/>
        <v>18</v>
      </c>
      <c r="B25" s="123"/>
      <c r="C25" s="116"/>
      <c r="D25" s="116"/>
      <c r="E25" s="115"/>
      <c r="F25" s="116"/>
      <c r="G25" s="115"/>
      <c r="H25" s="117"/>
      <c r="I25" s="115"/>
      <c r="J25" s="115"/>
      <c r="K25" s="115"/>
      <c r="L25" s="115"/>
      <c r="M25" s="156"/>
      <c r="N25" s="156"/>
      <c r="O25" s="156"/>
      <c r="P25" s="119"/>
      <c r="Q25" s="115"/>
      <c r="R25" s="160"/>
      <c r="S25" s="160"/>
      <c r="T25" s="120"/>
      <c r="U25" s="119"/>
      <c r="V25" s="115"/>
      <c r="W25" s="120"/>
      <c r="X25" s="120"/>
      <c r="Y25" s="158"/>
      <c r="Z25" s="160"/>
      <c r="AA25" s="160"/>
      <c r="AB25" s="160"/>
      <c r="AC25" s="160"/>
      <c r="AD25" s="119"/>
      <c r="AE25" s="115"/>
      <c r="AF25" s="115"/>
      <c r="AG25" s="115"/>
      <c r="AH25" s="115"/>
      <c r="AI25" s="115"/>
      <c r="AJ25" s="115"/>
      <c r="AK25" s="115"/>
      <c r="AL25" s="115"/>
    </row>
    <row r="26" spans="1:38" outlineLevel="1">
      <c r="A26" s="13">
        <f t="shared" si="0"/>
        <v>19</v>
      </c>
      <c r="B26" s="123"/>
      <c r="C26" s="116"/>
      <c r="D26" s="116"/>
      <c r="E26" s="115"/>
      <c r="F26" s="116"/>
      <c r="G26" s="115"/>
      <c r="H26" s="117"/>
      <c r="I26" s="115"/>
      <c r="J26" s="115"/>
      <c r="K26" s="115"/>
      <c r="L26" s="115"/>
      <c r="M26" s="156"/>
      <c r="N26" s="156"/>
      <c r="O26" s="156"/>
      <c r="P26" s="119"/>
      <c r="Q26" s="115"/>
      <c r="R26" s="160"/>
      <c r="S26" s="160"/>
      <c r="T26" s="120"/>
      <c r="U26" s="119"/>
      <c r="V26" s="115"/>
      <c r="W26" s="120"/>
      <c r="X26" s="120"/>
      <c r="Y26" s="158"/>
      <c r="Z26" s="160"/>
      <c r="AA26" s="160"/>
      <c r="AB26" s="160"/>
      <c r="AC26" s="160"/>
      <c r="AD26" s="119"/>
      <c r="AE26" s="115"/>
      <c r="AF26" s="115"/>
      <c r="AG26" s="115"/>
      <c r="AH26" s="115"/>
      <c r="AI26" s="115"/>
      <c r="AJ26" s="115"/>
      <c r="AK26" s="115"/>
      <c r="AL26" s="115"/>
    </row>
    <row r="27" spans="1:38" outlineLevel="1">
      <c r="A27" s="13">
        <f t="shared" si="0"/>
        <v>20</v>
      </c>
      <c r="B27" s="123"/>
      <c r="C27" s="116"/>
      <c r="D27" s="116"/>
      <c r="E27" s="115"/>
      <c r="F27" s="116"/>
      <c r="G27" s="115"/>
      <c r="H27" s="117"/>
      <c r="I27" s="115"/>
      <c r="J27" s="115"/>
      <c r="K27" s="115"/>
      <c r="L27" s="115"/>
      <c r="M27" s="156"/>
      <c r="N27" s="156"/>
      <c r="O27" s="156"/>
      <c r="P27" s="119"/>
      <c r="Q27" s="115"/>
      <c r="R27" s="160"/>
      <c r="S27" s="160"/>
      <c r="T27" s="120"/>
      <c r="U27" s="119"/>
      <c r="V27" s="115"/>
      <c r="W27" s="120"/>
      <c r="X27" s="120"/>
      <c r="Y27" s="158"/>
      <c r="Z27" s="160"/>
      <c r="AA27" s="160"/>
      <c r="AB27" s="160"/>
      <c r="AC27" s="160"/>
      <c r="AD27" s="119"/>
      <c r="AE27" s="115"/>
      <c r="AF27" s="115"/>
      <c r="AG27" s="115"/>
      <c r="AH27" s="115"/>
      <c r="AI27" s="115"/>
      <c r="AJ27" s="115"/>
      <c r="AK27" s="115"/>
      <c r="AL27" s="115"/>
    </row>
    <row r="28" spans="1:38" outlineLevel="1">
      <c r="A28" s="13">
        <f t="shared" si="0"/>
        <v>21</v>
      </c>
      <c r="B28" s="123"/>
      <c r="C28" s="116"/>
      <c r="D28" s="116"/>
      <c r="E28" s="115"/>
      <c r="F28" s="116"/>
      <c r="G28" s="115"/>
      <c r="H28" s="117"/>
      <c r="I28" s="115"/>
      <c r="J28" s="115"/>
      <c r="K28" s="115"/>
      <c r="L28" s="115"/>
      <c r="M28" s="156"/>
      <c r="N28" s="156"/>
      <c r="O28" s="156"/>
      <c r="P28" s="119"/>
      <c r="Q28" s="115"/>
      <c r="R28" s="160"/>
      <c r="S28" s="160"/>
      <c r="T28" s="120"/>
      <c r="U28" s="119"/>
      <c r="V28" s="115"/>
      <c r="W28" s="120"/>
      <c r="X28" s="120"/>
      <c r="Y28" s="158"/>
      <c r="Z28" s="160"/>
      <c r="AA28" s="160"/>
      <c r="AB28" s="160"/>
      <c r="AC28" s="160"/>
      <c r="AD28" s="119"/>
      <c r="AE28" s="115"/>
      <c r="AF28" s="115"/>
      <c r="AG28" s="115"/>
      <c r="AH28" s="115"/>
      <c r="AI28" s="115"/>
      <c r="AJ28" s="115"/>
      <c r="AK28" s="115"/>
      <c r="AL28" s="115"/>
    </row>
    <row r="29" spans="1:38" outlineLevel="1">
      <c r="A29" s="13">
        <f t="shared" si="0"/>
        <v>22</v>
      </c>
      <c r="B29" s="123"/>
      <c r="C29" s="116"/>
      <c r="D29" s="116"/>
      <c r="E29" s="115"/>
      <c r="F29" s="116"/>
      <c r="G29" s="115"/>
      <c r="H29" s="117"/>
      <c r="I29" s="115"/>
      <c r="J29" s="115"/>
      <c r="K29" s="115"/>
      <c r="L29" s="115"/>
      <c r="M29" s="156"/>
      <c r="N29" s="156"/>
      <c r="O29" s="156"/>
      <c r="P29" s="119"/>
      <c r="Q29" s="115"/>
      <c r="R29" s="160"/>
      <c r="S29" s="160"/>
      <c r="T29" s="120"/>
      <c r="U29" s="119"/>
      <c r="V29" s="115"/>
      <c r="W29" s="120"/>
      <c r="X29" s="120"/>
      <c r="Y29" s="158"/>
      <c r="Z29" s="160"/>
      <c r="AA29" s="160"/>
      <c r="AB29" s="160"/>
      <c r="AC29" s="160"/>
      <c r="AD29" s="119"/>
      <c r="AE29" s="115"/>
      <c r="AF29" s="115"/>
      <c r="AG29" s="115"/>
      <c r="AH29" s="115"/>
      <c r="AI29" s="115"/>
      <c r="AJ29" s="115"/>
      <c r="AK29" s="115"/>
      <c r="AL29" s="115"/>
    </row>
    <row r="30" spans="1:38" outlineLevel="1">
      <c r="A30" s="13">
        <f t="shared" si="0"/>
        <v>23</v>
      </c>
      <c r="B30" s="123"/>
      <c r="C30" s="116"/>
      <c r="D30" s="116"/>
      <c r="E30" s="115"/>
      <c r="F30" s="116"/>
      <c r="G30" s="115"/>
      <c r="H30" s="117"/>
      <c r="I30" s="115"/>
      <c r="J30" s="115"/>
      <c r="K30" s="115"/>
      <c r="L30" s="115"/>
      <c r="M30" s="156"/>
      <c r="N30" s="156"/>
      <c r="O30" s="156"/>
      <c r="P30" s="119"/>
      <c r="Q30" s="115"/>
      <c r="R30" s="160"/>
      <c r="S30" s="160"/>
      <c r="T30" s="120"/>
      <c r="U30" s="119"/>
      <c r="V30" s="115"/>
      <c r="W30" s="120"/>
      <c r="X30" s="120"/>
      <c r="Y30" s="158"/>
      <c r="Z30" s="160"/>
      <c r="AA30" s="160"/>
      <c r="AB30" s="160"/>
      <c r="AC30" s="160"/>
      <c r="AD30" s="119"/>
      <c r="AE30" s="115"/>
      <c r="AF30" s="115"/>
      <c r="AG30" s="115"/>
      <c r="AH30" s="115"/>
      <c r="AI30" s="115"/>
      <c r="AJ30" s="115"/>
      <c r="AK30" s="115"/>
      <c r="AL30" s="115"/>
    </row>
    <row r="31" spans="1:38" outlineLevel="1">
      <c r="A31" s="13">
        <f t="shared" si="0"/>
        <v>24</v>
      </c>
      <c r="B31" s="123"/>
      <c r="C31" s="116"/>
      <c r="D31" s="116"/>
      <c r="E31" s="115"/>
      <c r="F31" s="116"/>
      <c r="G31" s="115"/>
      <c r="H31" s="117"/>
      <c r="I31" s="115"/>
      <c r="J31" s="115"/>
      <c r="K31" s="115"/>
      <c r="L31" s="115"/>
      <c r="M31" s="156"/>
      <c r="N31" s="156"/>
      <c r="O31" s="156"/>
      <c r="P31" s="119"/>
      <c r="Q31" s="115"/>
      <c r="R31" s="160"/>
      <c r="S31" s="160"/>
      <c r="T31" s="120"/>
      <c r="U31" s="119"/>
      <c r="V31" s="115"/>
      <c r="W31" s="120"/>
      <c r="X31" s="120"/>
      <c r="Y31" s="158"/>
      <c r="Z31" s="160"/>
      <c r="AA31" s="160"/>
      <c r="AB31" s="160"/>
      <c r="AC31" s="160"/>
      <c r="AD31" s="119"/>
      <c r="AE31" s="115"/>
      <c r="AF31" s="115"/>
      <c r="AG31" s="115"/>
      <c r="AH31" s="115"/>
      <c r="AI31" s="115"/>
      <c r="AJ31" s="115"/>
      <c r="AK31" s="115"/>
      <c r="AL31" s="115"/>
    </row>
    <row r="32" spans="1:38">
      <c r="A32" s="13">
        <f t="shared" si="0"/>
        <v>25</v>
      </c>
      <c r="B32" s="123"/>
      <c r="C32" s="116"/>
      <c r="D32" s="116"/>
      <c r="E32" s="115"/>
      <c r="F32" s="116"/>
      <c r="G32" s="115"/>
      <c r="H32" s="117"/>
      <c r="I32" s="115"/>
      <c r="J32" s="115"/>
      <c r="K32" s="115"/>
      <c r="L32" s="115"/>
      <c r="M32" s="156"/>
      <c r="N32" s="156"/>
      <c r="O32" s="156"/>
      <c r="P32" s="119"/>
      <c r="Q32" s="115"/>
      <c r="R32" s="160"/>
      <c r="S32" s="160"/>
      <c r="T32" s="120"/>
      <c r="U32" s="119"/>
      <c r="V32" s="115"/>
      <c r="W32" s="120"/>
      <c r="X32" s="120"/>
      <c r="Y32" s="158"/>
      <c r="Z32" s="160"/>
      <c r="AA32" s="160"/>
      <c r="AB32" s="160"/>
      <c r="AC32" s="160"/>
      <c r="AD32" s="119"/>
      <c r="AE32" s="115"/>
      <c r="AF32" s="115"/>
      <c r="AG32" s="115"/>
      <c r="AH32" s="115"/>
      <c r="AI32" s="115"/>
      <c r="AJ32" s="115"/>
      <c r="AK32" s="115"/>
      <c r="AL32" s="115"/>
    </row>
    <row r="33" spans="1:38">
      <c r="A33" s="13">
        <f t="shared" si="0"/>
        <v>26</v>
      </c>
      <c r="B33" s="123"/>
      <c r="C33" s="116"/>
      <c r="D33" s="116"/>
      <c r="E33" s="115"/>
      <c r="F33" s="116"/>
      <c r="G33" s="115"/>
      <c r="H33" s="117"/>
      <c r="I33" s="115"/>
      <c r="J33" s="115"/>
      <c r="K33" s="115"/>
      <c r="L33" s="115"/>
      <c r="M33" s="156"/>
      <c r="N33" s="156"/>
      <c r="O33" s="156"/>
      <c r="P33" s="119"/>
      <c r="Q33" s="115"/>
      <c r="R33" s="160"/>
      <c r="S33" s="160"/>
      <c r="T33" s="120"/>
      <c r="U33" s="119"/>
      <c r="V33" s="115"/>
      <c r="W33" s="120"/>
      <c r="X33" s="120"/>
      <c r="Y33" s="158"/>
      <c r="Z33" s="160"/>
      <c r="AA33" s="160"/>
      <c r="AB33" s="160"/>
      <c r="AC33" s="160"/>
      <c r="AD33" s="119"/>
      <c r="AE33" s="115"/>
      <c r="AF33" s="115"/>
      <c r="AG33" s="115"/>
      <c r="AH33" s="115"/>
      <c r="AI33" s="115"/>
      <c r="AJ33" s="115"/>
      <c r="AK33" s="115"/>
      <c r="AL33" s="115"/>
    </row>
    <row r="34" spans="1:38">
      <c r="A34" s="13">
        <f>A33+1</f>
        <v>27</v>
      </c>
      <c r="B34" s="123"/>
      <c r="C34" s="116"/>
      <c r="D34" s="116"/>
      <c r="E34" s="115"/>
      <c r="F34" s="116"/>
      <c r="G34" s="115"/>
      <c r="H34" s="117"/>
      <c r="I34" s="115"/>
      <c r="J34" s="115"/>
      <c r="K34" s="115"/>
      <c r="L34" s="115"/>
      <c r="M34" s="156"/>
      <c r="N34" s="156"/>
      <c r="O34" s="156"/>
      <c r="P34" s="119"/>
      <c r="Q34" s="115"/>
      <c r="R34" s="160"/>
      <c r="S34" s="160"/>
      <c r="T34" s="120"/>
      <c r="U34" s="119"/>
      <c r="V34" s="115"/>
      <c r="W34" s="120"/>
      <c r="X34" s="120"/>
      <c r="Y34" s="158"/>
      <c r="Z34" s="160"/>
      <c r="AA34" s="160"/>
      <c r="AB34" s="160"/>
      <c r="AC34" s="160"/>
      <c r="AD34" s="119"/>
      <c r="AE34" s="115"/>
      <c r="AF34" s="115"/>
      <c r="AG34" s="115"/>
      <c r="AH34" s="115"/>
      <c r="AI34" s="115"/>
      <c r="AJ34" s="115"/>
      <c r="AK34" s="115"/>
      <c r="AL34" s="115"/>
    </row>
    <row r="35" spans="1:38">
      <c r="A35" s="13">
        <f t="shared" si="0"/>
        <v>28</v>
      </c>
      <c r="B35" s="123"/>
      <c r="C35" s="116"/>
      <c r="D35" s="116"/>
      <c r="E35" s="115"/>
      <c r="F35" s="116"/>
      <c r="G35" s="115"/>
      <c r="H35" s="117"/>
      <c r="I35" s="115"/>
      <c r="J35" s="115"/>
      <c r="K35" s="115"/>
      <c r="L35" s="115"/>
      <c r="M35" s="156"/>
      <c r="N35" s="156"/>
      <c r="O35" s="156"/>
      <c r="P35" s="119"/>
      <c r="Q35" s="115"/>
      <c r="R35" s="160"/>
      <c r="S35" s="160"/>
      <c r="T35" s="120"/>
      <c r="U35" s="119"/>
      <c r="V35" s="115"/>
      <c r="W35" s="120"/>
      <c r="X35" s="120"/>
      <c r="Y35" s="158"/>
      <c r="Z35" s="160"/>
      <c r="AA35" s="160"/>
      <c r="AB35" s="160"/>
      <c r="AC35" s="160"/>
      <c r="AD35" s="119"/>
      <c r="AE35" s="115"/>
      <c r="AF35" s="115"/>
      <c r="AG35" s="115"/>
      <c r="AH35" s="115"/>
      <c r="AI35" s="115"/>
      <c r="AJ35" s="115"/>
      <c r="AK35" s="115"/>
      <c r="AL35" s="115"/>
    </row>
    <row r="36" spans="1:38">
      <c r="A36" s="13">
        <f t="shared" si="0"/>
        <v>29</v>
      </c>
      <c r="B36" s="123"/>
      <c r="C36" s="116"/>
      <c r="D36" s="116"/>
      <c r="E36" s="115"/>
      <c r="F36" s="116"/>
      <c r="G36" s="115"/>
      <c r="H36" s="117"/>
      <c r="I36" s="115"/>
      <c r="J36" s="115"/>
      <c r="K36" s="115"/>
      <c r="L36" s="115"/>
      <c r="M36" s="156"/>
      <c r="N36" s="156"/>
      <c r="O36" s="156"/>
      <c r="P36" s="119"/>
      <c r="Q36" s="115"/>
      <c r="R36" s="160"/>
      <c r="S36" s="160"/>
      <c r="T36" s="120"/>
      <c r="U36" s="119"/>
      <c r="V36" s="115"/>
      <c r="W36" s="120"/>
      <c r="X36" s="120"/>
      <c r="Y36" s="158"/>
      <c r="Z36" s="160"/>
      <c r="AA36" s="160"/>
      <c r="AB36" s="160"/>
      <c r="AC36" s="160"/>
      <c r="AD36" s="119"/>
      <c r="AE36" s="115"/>
      <c r="AF36" s="115"/>
      <c r="AG36" s="115"/>
      <c r="AH36" s="115"/>
      <c r="AI36" s="115"/>
      <c r="AJ36" s="115"/>
      <c r="AK36" s="115"/>
      <c r="AL36" s="115"/>
    </row>
    <row r="37" spans="1:38">
      <c r="A37" s="13">
        <f t="shared" si="0"/>
        <v>30</v>
      </c>
      <c r="B37" s="123"/>
      <c r="C37" s="116"/>
      <c r="D37" s="116"/>
      <c r="E37" s="115"/>
      <c r="F37" s="116"/>
      <c r="G37" s="115"/>
      <c r="H37" s="117"/>
      <c r="I37" s="115"/>
      <c r="J37" s="115"/>
      <c r="K37" s="115"/>
      <c r="L37" s="115"/>
      <c r="M37" s="156"/>
      <c r="N37" s="156"/>
      <c r="O37" s="156"/>
      <c r="P37" s="119"/>
      <c r="Q37" s="115"/>
      <c r="R37" s="160"/>
      <c r="S37" s="160"/>
      <c r="T37" s="120"/>
      <c r="U37" s="119"/>
      <c r="V37" s="115"/>
      <c r="W37" s="120"/>
      <c r="X37" s="120"/>
      <c r="Y37" s="158"/>
      <c r="Z37" s="160"/>
      <c r="AA37" s="160"/>
      <c r="AB37" s="160"/>
      <c r="AC37" s="160"/>
      <c r="AD37" s="119"/>
      <c r="AE37" s="115"/>
      <c r="AF37" s="115"/>
      <c r="AG37" s="115"/>
      <c r="AH37" s="115"/>
      <c r="AI37" s="115"/>
      <c r="AJ37" s="115"/>
      <c r="AK37" s="115"/>
      <c r="AL37" s="115"/>
    </row>
    <row r="38" spans="1:38">
      <c r="A38" s="13">
        <f t="shared" si="0"/>
        <v>31</v>
      </c>
      <c r="B38" s="123"/>
      <c r="C38" s="116"/>
      <c r="D38" s="116"/>
      <c r="E38" s="115"/>
      <c r="F38" s="116"/>
      <c r="G38" s="115"/>
      <c r="H38" s="117"/>
      <c r="I38" s="115"/>
      <c r="J38" s="115"/>
      <c r="K38" s="115"/>
      <c r="L38" s="115"/>
      <c r="M38" s="156"/>
      <c r="N38" s="156"/>
      <c r="O38" s="156"/>
      <c r="P38" s="119"/>
      <c r="Q38" s="115"/>
      <c r="R38" s="160"/>
      <c r="S38" s="160"/>
      <c r="T38" s="120"/>
      <c r="U38" s="119"/>
      <c r="V38" s="115"/>
      <c r="W38" s="120"/>
      <c r="X38" s="120"/>
      <c r="Y38" s="158"/>
      <c r="Z38" s="160"/>
      <c r="AA38" s="160"/>
      <c r="AB38" s="160"/>
      <c r="AC38" s="160"/>
      <c r="AD38" s="119"/>
      <c r="AE38" s="115"/>
      <c r="AF38" s="115"/>
      <c r="AG38" s="115"/>
      <c r="AH38" s="115"/>
      <c r="AI38" s="115"/>
      <c r="AJ38" s="115"/>
      <c r="AK38" s="115"/>
      <c r="AL38" s="115"/>
    </row>
    <row r="39" spans="1:38">
      <c r="A39" s="13">
        <f t="shared" si="0"/>
        <v>32</v>
      </c>
      <c r="B39" s="123"/>
      <c r="C39" s="116"/>
      <c r="D39" s="116"/>
      <c r="E39" s="115"/>
      <c r="F39" s="116"/>
      <c r="G39" s="115"/>
      <c r="H39" s="117"/>
      <c r="I39" s="115"/>
      <c r="J39" s="115"/>
      <c r="K39" s="115"/>
      <c r="L39" s="115"/>
      <c r="M39" s="156"/>
      <c r="N39" s="156"/>
      <c r="O39" s="156"/>
      <c r="P39" s="119"/>
      <c r="Q39" s="115"/>
      <c r="R39" s="160"/>
      <c r="S39" s="160"/>
      <c r="T39" s="120"/>
      <c r="U39" s="119"/>
      <c r="V39" s="115"/>
      <c r="W39" s="120"/>
      <c r="X39" s="120"/>
      <c r="Y39" s="158"/>
      <c r="Z39" s="160"/>
      <c r="AA39" s="160"/>
      <c r="AB39" s="160"/>
      <c r="AC39" s="160"/>
      <c r="AD39" s="119"/>
      <c r="AE39" s="115"/>
      <c r="AF39" s="115"/>
      <c r="AG39" s="115"/>
      <c r="AH39" s="115"/>
      <c r="AI39" s="115"/>
      <c r="AJ39" s="115"/>
      <c r="AK39" s="115"/>
      <c r="AL39" s="115"/>
    </row>
    <row r="40" spans="1:38">
      <c r="A40" s="13">
        <f t="shared" si="0"/>
        <v>33</v>
      </c>
      <c r="B40" s="123"/>
      <c r="C40" s="116"/>
      <c r="D40" s="116"/>
      <c r="E40" s="115"/>
      <c r="F40" s="116"/>
      <c r="G40" s="115"/>
      <c r="H40" s="117"/>
      <c r="I40" s="115"/>
      <c r="J40" s="115"/>
      <c r="K40" s="115"/>
      <c r="L40" s="115"/>
      <c r="M40" s="156"/>
      <c r="N40" s="156"/>
      <c r="O40" s="156"/>
      <c r="P40" s="119"/>
      <c r="Q40" s="115"/>
      <c r="R40" s="160"/>
      <c r="S40" s="160"/>
      <c r="T40" s="120"/>
      <c r="U40" s="119"/>
      <c r="V40" s="115"/>
      <c r="W40" s="120"/>
      <c r="X40" s="120"/>
      <c r="Y40" s="158"/>
      <c r="Z40" s="160"/>
      <c r="AA40" s="160"/>
      <c r="AB40" s="160"/>
      <c r="AC40" s="160"/>
      <c r="AD40" s="119"/>
      <c r="AE40" s="115"/>
      <c r="AF40" s="115"/>
      <c r="AG40" s="115"/>
      <c r="AH40" s="115"/>
      <c r="AI40" s="115"/>
      <c r="AJ40" s="115"/>
      <c r="AK40" s="115"/>
      <c r="AL40" s="115"/>
    </row>
    <row r="41" spans="1:38">
      <c r="A41" s="13">
        <f t="shared" si="0"/>
        <v>34</v>
      </c>
      <c r="B41" s="123"/>
      <c r="C41" s="116"/>
      <c r="D41" s="116"/>
      <c r="E41" s="115"/>
      <c r="F41" s="116"/>
      <c r="G41" s="115"/>
      <c r="H41" s="117"/>
      <c r="I41" s="115"/>
      <c r="J41" s="115"/>
      <c r="K41" s="115"/>
      <c r="L41" s="115"/>
      <c r="M41" s="156"/>
      <c r="N41" s="156"/>
      <c r="O41" s="156"/>
      <c r="P41" s="119"/>
      <c r="Q41" s="115"/>
      <c r="R41" s="160"/>
      <c r="S41" s="160"/>
      <c r="T41" s="120"/>
      <c r="U41" s="119"/>
      <c r="V41" s="115"/>
      <c r="W41" s="120"/>
      <c r="X41" s="120"/>
      <c r="Y41" s="158"/>
      <c r="Z41" s="160"/>
      <c r="AA41" s="160"/>
      <c r="AB41" s="160"/>
      <c r="AC41" s="160"/>
      <c r="AD41" s="119"/>
      <c r="AE41" s="115"/>
      <c r="AF41" s="115"/>
      <c r="AG41" s="115"/>
      <c r="AH41" s="115"/>
      <c r="AI41" s="115"/>
      <c r="AJ41" s="115"/>
      <c r="AK41" s="115"/>
      <c r="AL41" s="115"/>
    </row>
    <row r="42" spans="1:38">
      <c r="A42" s="13">
        <f t="shared" si="0"/>
        <v>35</v>
      </c>
      <c r="B42" s="123"/>
      <c r="C42" s="116"/>
      <c r="D42" s="116"/>
      <c r="E42" s="115"/>
      <c r="F42" s="116"/>
      <c r="G42" s="115"/>
      <c r="H42" s="117"/>
      <c r="I42" s="115"/>
      <c r="J42" s="115"/>
      <c r="K42" s="115"/>
      <c r="L42" s="115"/>
      <c r="M42" s="156"/>
      <c r="N42" s="156"/>
      <c r="O42" s="156"/>
      <c r="P42" s="119"/>
      <c r="Q42" s="115"/>
      <c r="R42" s="160"/>
      <c r="S42" s="160"/>
      <c r="T42" s="120"/>
      <c r="U42" s="119"/>
      <c r="V42" s="115"/>
      <c r="W42" s="120"/>
      <c r="X42" s="120"/>
      <c r="Y42" s="158"/>
      <c r="Z42" s="160"/>
      <c r="AA42" s="160"/>
      <c r="AB42" s="160"/>
      <c r="AC42" s="160"/>
      <c r="AD42" s="119"/>
      <c r="AE42" s="115"/>
      <c r="AF42" s="115"/>
      <c r="AG42" s="115"/>
      <c r="AH42" s="115"/>
      <c r="AI42" s="115"/>
      <c r="AJ42" s="115"/>
      <c r="AK42" s="115"/>
      <c r="AL42" s="115"/>
    </row>
    <row r="43" spans="1:38">
      <c r="A43" s="13">
        <f t="shared" si="0"/>
        <v>36</v>
      </c>
      <c r="B43" s="123"/>
      <c r="C43" s="116"/>
      <c r="D43" s="116"/>
      <c r="E43" s="115"/>
      <c r="F43" s="116"/>
      <c r="G43" s="115"/>
      <c r="H43" s="117"/>
      <c r="I43" s="115"/>
      <c r="J43" s="115"/>
      <c r="K43" s="115"/>
      <c r="L43" s="115"/>
      <c r="M43" s="156"/>
      <c r="N43" s="156"/>
      <c r="O43" s="156"/>
      <c r="P43" s="119"/>
      <c r="Q43" s="115"/>
      <c r="R43" s="160"/>
      <c r="S43" s="160"/>
      <c r="T43" s="120"/>
      <c r="U43" s="119"/>
      <c r="V43" s="115"/>
      <c r="W43" s="120"/>
      <c r="X43" s="120"/>
      <c r="Y43" s="158"/>
      <c r="Z43" s="160"/>
      <c r="AA43" s="160"/>
      <c r="AB43" s="160"/>
      <c r="AC43" s="160"/>
      <c r="AD43" s="119"/>
      <c r="AE43" s="115"/>
      <c r="AF43" s="115"/>
      <c r="AG43" s="115"/>
      <c r="AH43" s="115"/>
      <c r="AI43" s="115"/>
      <c r="AJ43" s="115"/>
      <c r="AK43" s="115"/>
      <c r="AL43" s="115"/>
    </row>
    <row r="44" spans="1:38">
      <c r="A44" s="13">
        <f t="shared" si="0"/>
        <v>37</v>
      </c>
      <c r="B44" s="123"/>
      <c r="C44" s="116"/>
      <c r="D44" s="116"/>
      <c r="E44" s="115"/>
      <c r="F44" s="116"/>
      <c r="G44" s="115"/>
      <c r="H44" s="117"/>
      <c r="I44" s="115"/>
      <c r="J44" s="115"/>
      <c r="K44" s="115"/>
      <c r="L44" s="115"/>
      <c r="M44" s="156"/>
      <c r="N44" s="156"/>
      <c r="O44" s="156"/>
      <c r="P44" s="119"/>
      <c r="Q44" s="115"/>
      <c r="R44" s="160"/>
      <c r="S44" s="160"/>
      <c r="T44" s="120"/>
      <c r="U44" s="119"/>
      <c r="V44" s="115"/>
      <c r="W44" s="120"/>
      <c r="X44" s="120"/>
      <c r="Y44" s="158"/>
      <c r="Z44" s="160"/>
      <c r="AA44" s="160"/>
      <c r="AB44" s="160"/>
      <c r="AC44" s="160"/>
      <c r="AD44" s="119"/>
      <c r="AE44" s="115"/>
      <c r="AF44" s="115"/>
      <c r="AG44" s="115"/>
      <c r="AH44" s="115"/>
      <c r="AI44" s="115"/>
      <c r="AJ44" s="115"/>
      <c r="AK44" s="115"/>
      <c r="AL44" s="115"/>
    </row>
    <row r="45" spans="1:38">
      <c r="A45" s="13">
        <f t="shared" si="0"/>
        <v>38</v>
      </c>
      <c r="B45" s="123"/>
      <c r="C45" s="116"/>
      <c r="D45" s="116"/>
      <c r="E45" s="115"/>
      <c r="F45" s="116"/>
      <c r="G45" s="115"/>
      <c r="H45" s="117"/>
      <c r="I45" s="115"/>
      <c r="J45" s="115"/>
      <c r="K45" s="115"/>
      <c r="L45" s="115"/>
      <c r="M45" s="156"/>
      <c r="N45" s="156"/>
      <c r="O45" s="156"/>
      <c r="P45" s="119"/>
      <c r="Q45" s="115"/>
      <c r="R45" s="160"/>
      <c r="S45" s="160"/>
      <c r="T45" s="120"/>
      <c r="U45" s="119"/>
      <c r="V45" s="115"/>
      <c r="W45" s="120"/>
      <c r="X45" s="120"/>
      <c r="Y45" s="158"/>
      <c r="Z45" s="160"/>
      <c r="AA45" s="160"/>
      <c r="AB45" s="160"/>
      <c r="AC45" s="160"/>
      <c r="AD45" s="119"/>
      <c r="AE45" s="115"/>
      <c r="AF45" s="115"/>
      <c r="AG45" s="115"/>
      <c r="AH45" s="115"/>
      <c r="AI45" s="115"/>
      <c r="AJ45" s="115"/>
      <c r="AK45" s="115"/>
      <c r="AL45" s="115"/>
    </row>
    <row r="46" spans="1:38">
      <c r="A46" s="13">
        <f t="shared" si="0"/>
        <v>39</v>
      </c>
      <c r="B46" s="123"/>
      <c r="C46" s="116"/>
      <c r="D46" s="116"/>
      <c r="E46" s="115"/>
      <c r="F46" s="116"/>
      <c r="G46" s="115"/>
      <c r="H46" s="117"/>
      <c r="I46" s="115"/>
      <c r="J46" s="115"/>
      <c r="K46" s="115"/>
      <c r="L46" s="115"/>
      <c r="M46" s="156"/>
      <c r="N46" s="156"/>
      <c r="O46" s="156"/>
      <c r="P46" s="119"/>
      <c r="Q46" s="115"/>
      <c r="R46" s="160"/>
      <c r="S46" s="160"/>
      <c r="T46" s="120"/>
      <c r="U46" s="119"/>
      <c r="V46" s="115"/>
      <c r="W46" s="120"/>
      <c r="X46" s="120"/>
      <c r="Y46" s="158"/>
      <c r="Z46" s="160"/>
      <c r="AA46" s="160"/>
      <c r="AB46" s="160"/>
      <c r="AC46" s="160"/>
      <c r="AD46" s="119"/>
      <c r="AE46" s="115"/>
      <c r="AF46" s="115"/>
      <c r="AG46" s="115"/>
      <c r="AH46" s="115"/>
      <c r="AI46" s="115"/>
      <c r="AJ46" s="115"/>
      <c r="AK46" s="115"/>
      <c r="AL46" s="115"/>
    </row>
    <row r="47" spans="1:38">
      <c r="A47" s="13">
        <f t="shared" si="0"/>
        <v>40</v>
      </c>
      <c r="B47" s="123"/>
      <c r="C47" s="116"/>
      <c r="D47" s="116"/>
      <c r="E47" s="115"/>
      <c r="F47" s="116"/>
      <c r="G47" s="115"/>
      <c r="H47" s="117"/>
      <c r="I47" s="115"/>
      <c r="J47" s="115"/>
      <c r="K47" s="115"/>
      <c r="L47" s="115"/>
      <c r="M47" s="156"/>
      <c r="N47" s="156"/>
      <c r="O47" s="156"/>
      <c r="P47" s="119"/>
      <c r="Q47" s="115"/>
      <c r="R47" s="160"/>
      <c r="S47" s="160"/>
      <c r="T47" s="120"/>
      <c r="U47" s="119"/>
      <c r="V47" s="115"/>
      <c r="W47" s="120"/>
      <c r="X47" s="120"/>
      <c r="Y47" s="158"/>
      <c r="Z47" s="160"/>
      <c r="AA47" s="160"/>
      <c r="AB47" s="160"/>
      <c r="AC47" s="160"/>
      <c r="AD47" s="119"/>
      <c r="AE47" s="115"/>
      <c r="AF47" s="115"/>
      <c r="AG47" s="115"/>
      <c r="AH47" s="115"/>
      <c r="AI47" s="115"/>
      <c r="AJ47" s="115"/>
      <c r="AK47" s="115"/>
      <c r="AL47" s="115"/>
    </row>
    <row r="48" spans="1:38">
      <c r="A48" s="13">
        <f t="shared" si="0"/>
        <v>41</v>
      </c>
      <c r="B48" s="123"/>
      <c r="C48" s="116"/>
      <c r="D48" s="116"/>
      <c r="E48" s="115"/>
      <c r="F48" s="116"/>
      <c r="G48" s="115"/>
      <c r="H48" s="117"/>
      <c r="I48" s="115"/>
      <c r="J48" s="115"/>
      <c r="K48" s="115"/>
      <c r="L48" s="115"/>
      <c r="M48" s="156"/>
      <c r="N48" s="156"/>
      <c r="O48" s="156"/>
      <c r="P48" s="119"/>
      <c r="Q48" s="115"/>
      <c r="R48" s="160"/>
      <c r="S48" s="160"/>
      <c r="T48" s="120"/>
      <c r="U48" s="119"/>
      <c r="V48" s="115"/>
      <c r="W48" s="120"/>
      <c r="X48" s="120"/>
      <c r="Y48" s="158"/>
      <c r="Z48" s="160"/>
      <c r="AA48" s="160"/>
      <c r="AB48" s="160"/>
      <c r="AC48" s="160"/>
      <c r="AD48" s="119"/>
      <c r="AE48" s="115"/>
      <c r="AF48" s="115"/>
      <c r="AG48" s="115"/>
      <c r="AH48" s="115"/>
      <c r="AI48" s="115"/>
      <c r="AJ48" s="115"/>
      <c r="AK48" s="115"/>
      <c r="AL48" s="115"/>
    </row>
    <row r="49" spans="1:38">
      <c r="A49" s="13">
        <f t="shared" si="0"/>
        <v>42</v>
      </c>
      <c r="B49" s="123"/>
      <c r="C49" s="116"/>
      <c r="D49" s="116"/>
      <c r="E49" s="115"/>
      <c r="F49" s="116"/>
      <c r="G49" s="115"/>
      <c r="H49" s="117"/>
      <c r="I49" s="115"/>
      <c r="J49" s="115"/>
      <c r="K49" s="115"/>
      <c r="L49" s="115"/>
      <c r="M49" s="156"/>
      <c r="N49" s="156"/>
      <c r="O49" s="156"/>
      <c r="P49" s="119"/>
      <c r="Q49" s="115"/>
      <c r="R49" s="160"/>
      <c r="S49" s="160"/>
      <c r="T49" s="120"/>
      <c r="U49" s="119"/>
      <c r="V49" s="115"/>
      <c r="W49" s="120"/>
      <c r="X49" s="120"/>
      <c r="Y49" s="158"/>
      <c r="Z49" s="160"/>
      <c r="AA49" s="160"/>
      <c r="AB49" s="160"/>
      <c r="AC49" s="160"/>
      <c r="AD49" s="119"/>
      <c r="AE49" s="115"/>
      <c r="AF49" s="115"/>
      <c r="AG49" s="115"/>
      <c r="AH49" s="115"/>
      <c r="AI49" s="115"/>
      <c r="AJ49" s="115"/>
      <c r="AK49" s="115"/>
      <c r="AL49" s="115"/>
    </row>
    <row r="50" spans="1:38">
      <c r="A50" s="13">
        <f t="shared" si="0"/>
        <v>43</v>
      </c>
      <c r="B50" s="123"/>
      <c r="C50" s="116"/>
      <c r="D50" s="116"/>
      <c r="E50" s="115"/>
      <c r="F50" s="116"/>
      <c r="G50" s="115"/>
      <c r="H50" s="117"/>
      <c r="I50" s="115"/>
      <c r="J50" s="115"/>
      <c r="K50" s="115"/>
      <c r="L50" s="115"/>
      <c r="M50" s="156"/>
      <c r="N50" s="156"/>
      <c r="O50" s="156"/>
      <c r="P50" s="119"/>
      <c r="Q50" s="115"/>
      <c r="R50" s="160"/>
      <c r="S50" s="160"/>
      <c r="T50" s="120"/>
      <c r="U50" s="119"/>
      <c r="V50" s="115"/>
      <c r="W50" s="120"/>
      <c r="X50" s="120"/>
      <c r="Y50" s="158"/>
      <c r="Z50" s="160"/>
      <c r="AA50" s="160"/>
      <c r="AB50" s="160"/>
      <c r="AC50" s="160"/>
      <c r="AD50" s="119"/>
      <c r="AE50" s="115"/>
      <c r="AF50" s="115"/>
      <c r="AG50" s="115"/>
      <c r="AH50" s="115"/>
      <c r="AI50" s="115"/>
      <c r="AJ50" s="115"/>
      <c r="AK50" s="115"/>
      <c r="AL50" s="115"/>
    </row>
    <row r="51" spans="1:38">
      <c r="A51" s="13">
        <f t="shared" si="0"/>
        <v>44</v>
      </c>
      <c r="B51" s="123"/>
      <c r="C51" s="116"/>
      <c r="D51" s="116"/>
      <c r="E51" s="115"/>
      <c r="F51" s="116"/>
      <c r="G51" s="115"/>
      <c r="H51" s="117"/>
      <c r="I51" s="115"/>
      <c r="J51" s="115"/>
      <c r="K51" s="115"/>
      <c r="L51" s="115"/>
      <c r="M51" s="156"/>
      <c r="N51" s="156"/>
      <c r="O51" s="156"/>
      <c r="P51" s="119"/>
      <c r="Q51" s="115"/>
      <c r="R51" s="160"/>
      <c r="S51" s="160"/>
      <c r="T51" s="120"/>
      <c r="U51" s="119"/>
      <c r="V51" s="115"/>
      <c r="W51" s="120"/>
      <c r="X51" s="120"/>
      <c r="Y51" s="158"/>
      <c r="Z51" s="160"/>
      <c r="AA51" s="160"/>
      <c r="AB51" s="160"/>
      <c r="AC51" s="160"/>
      <c r="AD51" s="119"/>
      <c r="AE51" s="115"/>
      <c r="AF51" s="115"/>
      <c r="AG51" s="115"/>
      <c r="AH51" s="115"/>
      <c r="AI51" s="115"/>
      <c r="AJ51" s="115"/>
      <c r="AK51" s="115"/>
      <c r="AL51" s="115"/>
    </row>
    <row r="52" spans="1:38">
      <c r="A52" s="13">
        <f t="shared" si="0"/>
        <v>45</v>
      </c>
      <c r="B52" s="123"/>
      <c r="C52" s="116"/>
      <c r="D52" s="116"/>
      <c r="E52" s="115"/>
      <c r="F52" s="116"/>
      <c r="G52" s="115"/>
      <c r="H52" s="117"/>
      <c r="I52" s="115"/>
      <c r="J52" s="115"/>
      <c r="K52" s="115"/>
      <c r="L52" s="115"/>
      <c r="M52" s="156"/>
      <c r="N52" s="156"/>
      <c r="O52" s="156"/>
      <c r="P52" s="119"/>
      <c r="Q52" s="115"/>
      <c r="R52" s="160"/>
      <c r="S52" s="160"/>
      <c r="T52" s="120"/>
      <c r="U52" s="119"/>
      <c r="V52" s="115"/>
      <c r="W52" s="120"/>
      <c r="X52" s="120"/>
      <c r="Y52" s="158"/>
      <c r="Z52" s="160"/>
      <c r="AA52" s="160"/>
      <c r="AB52" s="160"/>
      <c r="AC52" s="160"/>
      <c r="AD52" s="119"/>
      <c r="AE52" s="115"/>
      <c r="AF52" s="115"/>
      <c r="AG52" s="115"/>
      <c r="AH52" s="115"/>
      <c r="AI52" s="115"/>
      <c r="AJ52" s="115"/>
      <c r="AK52" s="115"/>
      <c r="AL52" s="115"/>
    </row>
    <row r="53" spans="1:38">
      <c r="A53" s="13">
        <f t="shared" si="0"/>
        <v>46</v>
      </c>
      <c r="B53" s="123"/>
      <c r="C53" s="116"/>
      <c r="D53" s="116"/>
      <c r="E53" s="115"/>
      <c r="F53" s="116"/>
      <c r="G53" s="115"/>
      <c r="H53" s="117"/>
      <c r="I53" s="115"/>
      <c r="J53" s="115"/>
      <c r="K53" s="115"/>
      <c r="L53" s="115"/>
      <c r="M53" s="156">
        <f t="shared" ref="M53:M116" si="29">J53*(1+$M$6*IF(C53="B",-1,1))</f>
        <v>0</v>
      </c>
      <c r="N53" s="156"/>
      <c r="O53" s="156"/>
      <c r="P53" s="119">
        <f t="shared" ref="P53:P116" si="30">IF(AND(K53&lt;&gt;0,I53&lt;&gt;0),(IF(C53="B",1,-1))*(K53-J53)*I53-AL53*2,0)</f>
        <v>0</v>
      </c>
      <c r="Q53" s="115" t="e">
        <f t="shared" ref="Q53:Q71" si="31">K53/$J53</f>
        <v>#DIV/0!</v>
      </c>
      <c r="R53" s="160">
        <f t="shared" si="3"/>
        <v>0</v>
      </c>
      <c r="S53" s="160">
        <f t="shared" ref="S53:S116" si="32">(Y53-J53)*I53*IF(C53="B",1,-1)*IF(K53=0,1,0)</f>
        <v>0</v>
      </c>
      <c r="T53" s="120"/>
      <c r="U53" s="119"/>
      <c r="V53" s="115"/>
      <c r="W53" s="120"/>
      <c r="X53" s="120"/>
      <c r="Y53" s="158"/>
      <c r="Z53" s="160"/>
      <c r="AA53" s="160"/>
      <c r="AB53" s="160"/>
      <c r="AC53" s="160"/>
      <c r="AD53" s="119"/>
      <c r="AE53" s="115"/>
      <c r="AF53" s="115"/>
      <c r="AG53" s="115"/>
      <c r="AH53" s="115"/>
      <c r="AI53" s="115"/>
      <c r="AJ53" s="115"/>
      <c r="AK53" s="115"/>
      <c r="AL53" s="115"/>
    </row>
    <row r="54" spans="1:38">
      <c r="A54" s="13">
        <f t="shared" si="0"/>
        <v>47</v>
      </c>
      <c r="B54" s="123"/>
      <c r="C54" s="116"/>
      <c r="D54" s="116"/>
      <c r="E54" s="115"/>
      <c r="F54" s="116"/>
      <c r="G54" s="115"/>
      <c r="H54" s="117"/>
      <c r="I54" s="115"/>
      <c r="J54" s="115"/>
      <c r="K54" s="115"/>
      <c r="L54" s="115"/>
      <c r="M54" s="156">
        <f t="shared" si="29"/>
        <v>0</v>
      </c>
      <c r="N54" s="156"/>
      <c r="O54" s="156"/>
      <c r="P54" s="119">
        <f t="shared" si="30"/>
        <v>0</v>
      </c>
      <c r="Q54" s="115" t="e">
        <f t="shared" si="31"/>
        <v>#DIV/0!</v>
      </c>
      <c r="R54" s="160">
        <f t="shared" si="3"/>
        <v>0</v>
      </c>
      <c r="S54" s="160">
        <f t="shared" si="32"/>
        <v>0</v>
      </c>
      <c r="T54" s="120"/>
      <c r="U54" s="119"/>
      <c r="V54" s="115"/>
      <c r="W54" s="120"/>
      <c r="X54" s="120"/>
      <c r="Y54" s="158"/>
      <c r="Z54" s="160"/>
      <c r="AA54" s="160"/>
      <c r="AB54" s="160"/>
      <c r="AC54" s="160"/>
      <c r="AD54" s="119"/>
      <c r="AE54" s="115"/>
      <c r="AF54" s="115"/>
      <c r="AG54" s="115"/>
      <c r="AH54" s="115"/>
      <c r="AI54" s="115"/>
      <c r="AJ54" s="115"/>
      <c r="AK54" s="115"/>
      <c r="AL54" s="115"/>
    </row>
    <row r="55" spans="1:38">
      <c r="A55" s="13">
        <f t="shared" si="0"/>
        <v>48</v>
      </c>
      <c r="B55" s="123"/>
      <c r="C55" s="116"/>
      <c r="D55" s="116"/>
      <c r="E55" s="115"/>
      <c r="F55" s="116"/>
      <c r="G55" s="115"/>
      <c r="H55" s="117"/>
      <c r="I55" s="115"/>
      <c r="J55" s="115"/>
      <c r="K55" s="115"/>
      <c r="L55" s="115"/>
      <c r="M55" s="156">
        <f t="shared" si="29"/>
        <v>0</v>
      </c>
      <c r="N55" s="156"/>
      <c r="O55" s="156"/>
      <c r="P55" s="119">
        <f t="shared" si="30"/>
        <v>0</v>
      </c>
      <c r="Q55" s="115" t="e">
        <f t="shared" si="31"/>
        <v>#DIV/0!</v>
      </c>
      <c r="R55" s="160">
        <f t="shared" si="3"/>
        <v>0</v>
      </c>
      <c r="S55" s="160">
        <f t="shared" si="32"/>
        <v>0</v>
      </c>
      <c r="T55" s="120"/>
      <c r="U55" s="119"/>
      <c r="V55" s="115"/>
      <c r="W55" s="120"/>
      <c r="X55" s="120"/>
      <c r="Y55" s="158"/>
      <c r="Z55" s="160"/>
      <c r="AA55" s="160"/>
      <c r="AB55" s="160"/>
      <c r="AC55" s="160"/>
      <c r="AD55" s="119"/>
      <c r="AE55" s="115"/>
      <c r="AF55" s="115"/>
      <c r="AG55" s="115"/>
      <c r="AH55" s="115"/>
      <c r="AI55" s="115"/>
      <c r="AJ55" s="115"/>
      <c r="AK55" s="115"/>
      <c r="AL55" s="115"/>
    </row>
    <row r="56" spans="1:38">
      <c r="A56" s="13">
        <f t="shared" si="0"/>
        <v>49</v>
      </c>
      <c r="B56" s="123"/>
      <c r="C56" s="116"/>
      <c r="D56" s="116"/>
      <c r="E56" s="115"/>
      <c r="F56" s="116"/>
      <c r="G56" s="115"/>
      <c r="H56" s="117"/>
      <c r="I56" s="115"/>
      <c r="J56" s="115"/>
      <c r="K56" s="115"/>
      <c r="L56" s="115"/>
      <c r="M56" s="156">
        <f t="shared" si="29"/>
        <v>0</v>
      </c>
      <c r="N56" s="156"/>
      <c r="O56" s="156"/>
      <c r="P56" s="119">
        <f t="shared" si="30"/>
        <v>0</v>
      </c>
      <c r="Q56" s="115" t="e">
        <f t="shared" si="31"/>
        <v>#DIV/0!</v>
      </c>
      <c r="R56" s="160">
        <f t="shared" si="3"/>
        <v>0</v>
      </c>
      <c r="S56" s="160">
        <f t="shared" si="32"/>
        <v>0</v>
      </c>
      <c r="T56" s="120"/>
      <c r="U56" s="119"/>
      <c r="V56" s="115"/>
      <c r="W56" s="120"/>
      <c r="X56" s="120"/>
      <c r="Y56" s="158"/>
      <c r="Z56" s="160"/>
      <c r="AA56" s="160"/>
      <c r="AB56" s="160"/>
      <c r="AC56" s="160"/>
      <c r="AD56" s="119"/>
      <c r="AE56" s="115"/>
      <c r="AF56" s="115"/>
      <c r="AG56" s="115"/>
      <c r="AH56" s="115"/>
      <c r="AI56" s="115"/>
      <c r="AJ56" s="115"/>
      <c r="AK56" s="115"/>
      <c r="AL56" s="115"/>
    </row>
    <row r="57" spans="1:38">
      <c r="A57" s="13">
        <f t="shared" si="0"/>
        <v>50</v>
      </c>
      <c r="B57" s="123"/>
      <c r="C57" s="116"/>
      <c r="D57" s="116"/>
      <c r="E57" s="115"/>
      <c r="F57" s="116"/>
      <c r="G57" s="115"/>
      <c r="H57" s="117"/>
      <c r="I57" s="115"/>
      <c r="J57" s="115"/>
      <c r="K57" s="115"/>
      <c r="L57" s="115"/>
      <c r="M57" s="156">
        <f t="shared" si="29"/>
        <v>0</v>
      </c>
      <c r="N57" s="156"/>
      <c r="O57" s="156"/>
      <c r="P57" s="119">
        <f t="shared" si="30"/>
        <v>0</v>
      </c>
      <c r="Q57" s="115" t="e">
        <f t="shared" si="31"/>
        <v>#DIV/0!</v>
      </c>
      <c r="R57" s="160">
        <f t="shared" si="3"/>
        <v>0</v>
      </c>
      <c r="S57" s="160">
        <f t="shared" si="32"/>
        <v>0</v>
      </c>
      <c r="T57" s="120"/>
      <c r="U57" s="119"/>
      <c r="V57" s="115"/>
      <c r="W57" s="120"/>
      <c r="X57" s="120"/>
      <c r="Y57" s="158"/>
      <c r="Z57" s="160"/>
      <c r="AA57" s="160"/>
      <c r="AB57" s="160"/>
      <c r="AC57" s="160"/>
      <c r="AD57" s="119"/>
      <c r="AE57" s="115"/>
      <c r="AF57" s="115"/>
      <c r="AG57" s="115"/>
      <c r="AH57" s="115"/>
      <c r="AI57" s="115"/>
      <c r="AJ57" s="115"/>
      <c r="AK57" s="115"/>
      <c r="AL57" s="115"/>
    </row>
    <row r="58" spans="1:38">
      <c r="A58" s="13">
        <f t="shared" si="0"/>
        <v>51</v>
      </c>
      <c r="B58" s="123"/>
      <c r="C58" s="116"/>
      <c r="D58" s="116"/>
      <c r="E58" s="115"/>
      <c r="F58" s="116"/>
      <c r="G58" s="115"/>
      <c r="H58" s="117"/>
      <c r="I58" s="115"/>
      <c r="J58" s="115"/>
      <c r="K58" s="115"/>
      <c r="L58" s="115"/>
      <c r="M58" s="156">
        <f t="shared" si="29"/>
        <v>0</v>
      </c>
      <c r="N58" s="156"/>
      <c r="O58" s="156"/>
      <c r="P58" s="119">
        <f t="shared" si="30"/>
        <v>0</v>
      </c>
      <c r="Q58" s="115" t="e">
        <f t="shared" si="31"/>
        <v>#DIV/0!</v>
      </c>
      <c r="R58" s="160">
        <f t="shared" si="3"/>
        <v>0</v>
      </c>
      <c r="S58" s="160">
        <f t="shared" si="32"/>
        <v>0</v>
      </c>
      <c r="T58" s="120"/>
      <c r="U58" s="119"/>
      <c r="V58" s="115"/>
      <c r="W58" s="120"/>
      <c r="X58" s="120"/>
      <c r="Y58" s="158"/>
      <c r="Z58" s="160"/>
      <c r="AA58" s="160"/>
      <c r="AB58" s="160"/>
      <c r="AC58" s="160"/>
      <c r="AD58" s="119"/>
      <c r="AE58" s="115"/>
      <c r="AF58" s="115"/>
      <c r="AG58" s="115"/>
      <c r="AH58" s="115"/>
      <c r="AI58" s="115"/>
      <c r="AJ58" s="115"/>
      <c r="AK58" s="115"/>
      <c r="AL58" s="115"/>
    </row>
    <row r="59" spans="1:38">
      <c r="A59" s="13">
        <f t="shared" si="0"/>
        <v>52</v>
      </c>
      <c r="B59" s="123"/>
      <c r="C59" s="116"/>
      <c r="D59" s="116"/>
      <c r="E59" s="115"/>
      <c r="F59" s="116"/>
      <c r="G59" s="115"/>
      <c r="H59" s="117"/>
      <c r="I59" s="115"/>
      <c r="J59" s="115"/>
      <c r="K59" s="115"/>
      <c r="L59" s="115"/>
      <c r="M59" s="156">
        <f t="shared" si="29"/>
        <v>0</v>
      </c>
      <c r="N59" s="156"/>
      <c r="O59" s="156"/>
      <c r="P59" s="119">
        <f t="shared" si="30"/>
        <v>0</v>
      </c>
      <c r="Q59" s="115" t="e">
        <f t="shared" si="31"/>
        <v>#DIV/0!</v>
      </c>
      <c r="R59" s="160">
        <f t="shared" si="3"/>
        <v>0</v>
      </c>
      <c r="S59" s="160">
        <f t="shared" si="32"/>
        <v>0</v>
      </c>
      <c r="T59" s="120"/>
      <c r="U59" s="119"/>
      <c r="V59" s="115"/>
      <c r="W59" s="120"/>
      <c r="X59" s="120"/>
      <c r="Y59" s="158"/>
      <c r="Z59" s="160"/>
      <c r="AA59" s="160"/>
      <c r="AB59" s="160"/>
      <c r="AC59" s="160"/>
      <c r="AD59" s="119"/>
      <c r="AE59" s="115"/>
      <c r="AF59" s="115"/>
      <c r="AG59" s="115"/>
      <c r="AH59" s="115"/>
      <c r="AI59" s="115"/>
      <c r="AJ59" s="115"/>
      <c r="AK59" s="115"/>
      <c r="AL59" s="115"/>
    </row>
    <row r="60" spans="1:38">
      <c r="A60" s="13">
        <f t="shared" si="0"/>
        <v>53</v>
      </c>
      <c r="B60" s="123"/>
      <c r="C60" s="116"/>
      <c r="D60" s="116"/>
      <c r="E60" s="115"/>
      <c r="F60" s="116"/>
      <c r="G60" s="115"/>
      <c r="H60" s="117"/>
      <c r="I60" s="115"/>
      <c r="J60" s="115"/>
      <c r="K60" s="115"/>
      <c r="L60" s="115"/>
      <c r="M60" s="156">
        <f t="shared" si="29"/>
        <v>0</v>
      </c>
      <c r="N60" s="156"/>
      <c r="O60" s="156"/>
      <c r="P60" s="119">
        <f t="shared" si="30"/>
        <v>0</v>
      </c>
      <c r="Q60" s="115" t="e">
        <f t="shared" si="31"/>
        <v>#DIV/0!</v>
      </c>
      <c r="R60" s="160">
        <f t="shared" si="3"/>
        <v>0</v>
      </c>
      <c r="S60" s="160">
        <f t="shared" si="32"/>
        <v>0</v>
      </c>
      <c r="T60" s="120"/>
      <c r="U60" s="119"/>
      <c r="V60" s="115"/>
      <c r="W60" s="120"/>
      <c r="X60" s="120"/>
      <c r="Y60" s="158"/>
      <c r="Z60" s="160"/>
      <c r="AA60" s="160"/>
      <c r="AB60" s="160"/>
      <c r="AC60" s="160"/>
      <c r="AD60" s="119"/>
      <c r="AE60" s="115"/>
      <c r="AF60" s="115"/>
      <c r="AG60" s="115"/>
      <c r="AH60" s="115"/>
      <c r="AI60" s="115"/>
      <c r="AJ60" s="115"/>
      <c r="AK60" s="115"/>
      <c r="AL60" s="115"/>
    </row>
    <row r="61" spans="1:38">
      <c r="A61" s="13">
        <f t="shared" si="0"/>
        <v>54</v>
      </c>
      <c r="B61" s="123"/>
      <c r="C61" s="116"/>
      <c r="D61" s="116"/>
      <c r="E61" s="115"/>
      <c r="F61" s="116"/>
      <c r="G61" s="115"/>
      <c r="H61" s="117"/>
      <c r="I61" s="115"/>
      <c r="J61" s="115"/>
      <c r="K61" s="115"/>
      <c r="L61" s="115"/>
      <c r="M61" s="156">
        <f t="shared" si="29"/>
        <v>0</v>
      </c>
      <c r="N61" s="156"/>
      <c r="O61" s="156"/>
      <c r="P61" s="119">
        <f t="shared" si="30"/>
        <v>0</v>
      </c>
      <c r="Q61" s="115" t="e">
        <f t="shared" si="31"/>
        <v>#DIV/0!</v>
      </c>
      <c r="R61" s="160">
        <f t="shared" si="3"/>
        <v>0</v>
      </c>
      <c r="S61" s="160">
        <f t="shared" si="32"/>
        <v>0</v>
      </c>
      <c r="T61" s="120"/>
      <c r="U61" s="119"/>
      <c r="V61" s="115"/>
      <c r="W61" s="120"/>
      <c r="X61" s="120"/>
      <c r="Y61" s="158"/>
      <c r="Z61" s="160"/>
      <c r="AA61" s="160"/>
      <c r="AB61" s="160"/>
      <c r="AC61" s="160"/>
      <c r="AD61" s="119"/>
      <c r="AE61" s="115"/>
      <c r="AF61" s="115"/>
      <c r="AG61" s="115"/>
      <c r="AH61" s="115"/>
      <c r="AI61" s="115"/>
      <c r="AJ61" s="115"/>
      <c r="AK61" s="115"/>
      <c r="AL61" s="115"/>
    </row>
    <row r="62" spans="1:38">
      <c r="A62" s="13">
        <f t="shared" si="0"/>
        <v>55</v>
      </c>
      <c r="B62" s="123"/>
      <c r="C62" s="116"/>
      <c r="D62" s="116"/>
      <c r="E62" s="115"/>
      <c r="F62" s="116"/>
      <c r="G62" s="115"/>
      <c r="H62" s="117"/>
      <c r="I62" s="115"/>
      <c r="J62" s="115"/>
      <c r="K62" s="115"/>
      <c r="L62" s="115"/>
      <c r="M62" s="156">
        <f t="shared" si="29"/>
        <v>0</v>
      </c>
      <c r="N62" s="156"/>
      <c r="O62" s="156"/>
      <c r="P62" s="119">
        <f t="shared" si="30"/>
        <v>0</v>
      </c>
      <c r="Q62" s="115" t="e">
        <f t="shared" si="31"/>
        <v>#DIV/0!</v>
      </c>
      <c r="R62" s="160">
        <f t="shared" si="3"/>
        <v>0</v>
      </c>
      <c r="S62" s="160">
        <f t="shared" si="32"/>
        <v>0</v>
      </c>
      <c r="T62" s="120"/>
      <c r="U62" s="119"/>
      <c r="V62" s="115"/>
      <c r="W62" s="120"/>
      <c r="X62" s="120"/>
      <c r="Y62" s="158"/>
      <c r="Z62" s="160"/>
      <c r="AA62" s="160"/>
      <c r="AB62" s="160"/>
      <c r="AC62" s="160"/>
      <c r="AD62" s="119"/>
      <c r="AE62" s="115"/>
      <c r="AF62" s="115"/>
      <c r="AG62" s="115"/>
      <c r="AH62" s="115"/>
      <c r="AI62" s="115"/>
      <c r="AJ62" s="115"/>
      <c r="AK62" s="115"/>
      <c r="AL62" s="115"/>
    </row>
    <row r="63" spans="1:38">
      <c r="A63" s="13">
        <f t="shared" si="0"/>
        <v>56</v>
      </c>
      <c r="B63" s="123"/>
      <c r="C63" s="116"/>
      <c r="D63" s="116"/>
      <c r="E63" s="115"/>
      <c r="F63" s="116"/>
      <c r="G63" s="115"/>
      <c r="H63" s="117"/>
      <c r="I63" s="115"/>
      <c r="J63" s="115"/>
      <c r="K63" s="115"/>
      <c r="L63" s="115"/>
      <c r="M63" s="156">
        <f t="shared" si="29"/>
        <v>0</v>
      </c>
      <c r="N63" s="156"/>
      <c r="O63" s="156"/>
      <c r="P63" s="119">
        <f t="shared" si="30"/>
        <v>0</v>
      </c>
      <c r="Q63" s="115" t="e">
        <f t="shared" si="31"/>
        <v>#DIV/0!</v>
      </c>
      <c r="R63" s="160">
        <f t="shared" si="3"/>
        <v>0</v>
      </c>
      <c r="S63" s="160">
        <f t="shared" si="32"/>
        <v>0</v>
      </c>
      <c r="T63" s="120"/>
      <c r="U63" s="119"/>
      <c r="V63" s="115"/>
      <c r="W63" s="120"/>
      <c r="X63" s="120"/>
      <c r="Y63" s="158"/>
      <c r="Z63" s="160"/>
      <c r="AA63" s="160"/>
      <c r="AB63" s="160"/>
      <c r="AC63" s="160"/>
      <c r="AD63" s="119"/>
      <c r="AE63" s="115"/>
      <c r="AF63" s="115"/>
      <c r="AG63" s="115"/>
      <c r="AH63" s="115"/>
      <c r="AI63" s="115"/>
      <c r="AJ63" s="115"/>
      <c r="AK63" s="115"/>
      <c r="AL63" s="115"/>
    </row>
    <row r="64" spans="1:38">
      <c r="A64" s="13">
        <f t="shared" si="0"/>
        <v>57</v>
      </c>
      <c r="B64" s="123"/>
      <c r="C64" s="116"/>
      <c r="D64" s="116"/>
      <c r="E64" s="115"/>
      <c r="F64" s="116"/>
      <c r="G64" s="115"/>
      <c r="H64" s="117"/>
      <c r="I64" s="115"/>
      <c r="J64" s="115"/>
      <c r="K64" s="115"/>
      <c r="L64" s="115"/>
      <c r="M64" s="156">
        <f t="shared" si="29"/>
        <v>0</v>
      </c>
      <c r="N64" s="156"/>
      <c r="O64" s="156"/>
      <c r="P64" s="119">
        <f t="shared" si="30"/>
        <v>0</v>
      </c>
      <c r="Q64" s="115" t="e">
        <f t="shared" si="31"/>
        <v>#DIV/0!</v>
      </c>
      <c r="R64" s="160">
        <f t="shared" si="3"/>
        <v>0</v>
      </c>
      <c r="S64" s="160">
        <f t="shared" si="32"/>
        <v>0</v>
      </c>
      <c r="T64" s="120"/>
      <c r="U64" s="119"/>
      <c r="V64" s="115"/>
      <c r="W64" s="120"/>
      <c r="X64" s="120"/>
      <c r="Y64" s="158"/>
      <c r="Z64" s="160"/>
      <c r="AA64" s="160"/>
      <c r="AB64" s="160"/>
      <c r="AC64" s="160"/>
      <c r="AD64" s="119"/>
      <c r="AE64" s="115"/>
      <c r="AF64" s="115"/>
      <c r="AG64" s="115"/>
      <c r="AH64" s="115"/>
      <c r="AI64" s="115"/>
      <c r="AJ64" s="115"/>
      <c r="AK64" s="115"/>
      <c r="AL64" s="115"/>
    </row>
    <row r="65" spans="1:38">
      <c r="A65" s="13">
        <f t="shared" si="0"/>
        <v>58</v>
      </c>
      <c r="B65" s="123"/>
      <c r="C65" s="116"/>
      <c r="D65" s="116"/>
      <c r="E65" s="115"/>
      <c r="F65" s="116"/>
      <c r="G65" s="115"/>
      <c r="H65" s="117"/>
      <c r="I65" s="115"/>
      <c r="J65" s="115"/>
      <c r="K65" s="115"/>
      <c r="L65" s="115"/>
      <c r="M65" s="156">
        <f t="shared" si="29"/>
        <v>0</v>
      </c>
      <c r="N65" s="156"/>
      <c r="O65" s="156"/>
      <c r="P65" s="119">
        <f t="shared" si="30"/>
        <v>0</v>
      </c>
      <c r="Q65" s="115" t="e">
        <f t="shared" si="31"/>
        <v>#DIV/0!</v>
      </c>
      <c r="R65" s="160">
        <f t="shared" si="3"/>
        <v>0</v>
      </c>
      <c r="S65" s="160">
        <f t="shared" si="32"/>
        <v>0</v>
      </c>
      <c r="T65" s="120"/>
      <c r="U65" s="119"/>
      <c r="V65" s="115"/>
      <c r="W65" s="120"/>
      <c r="X65" s="120"/>
      <c r="Y65" s="158"/>
      <c r="Z65" s="160"/>
      <c r="AA65" s="160"/>
      <c r="AB65" s="160"/>
      <c r="AC65" s="160"/>
      <c r="AD65" s="119"/>
      <c r="AE65" s="115"/>
      <c r="AF65" s="115"/>
      <c r="AG65" s="115"/>
      <c r="AH65" s="115"/>
      <c r="AI65" s="115"/>
      <c r="AJ65" s="115"/>
      <c r="AK65" s="115"/>
      <c r="AL65" s="115"/>
    </row>
    <row r="66" spans="1:38">
      <c r="A66" s="13">
        <f t="shared" si="0"/>
        <v>59</v>
      </c>
      <c r="B66" s="123"/>
      <c r="C66" s="116"/>
      <c r="D66" s="116"/>
      <c r="E66" s="115"/>
      <c r="F66" s="116"/>
      <c r="G66" s="115"/>
      <c r="H66" s="117"/>
      <c r="I66" s="115"/>
      <c r="J66" s="115"/>
      <c r="K66" s="115"/>
      <c r="L66" s="115"/>
      <c r="M66" s="156">
        <f t="shared" si="29"/>
        <v>0</v>
      </c>
      <c r="N66" s="156"/>
      <c r="O66" s="156"/>
      <c r="P66" s="119">
        <f t="shared" si="30"/>
        <v>0</v>
      </c>
      <c r="Q66" s="115" t="e">
        <f t="shared" si="31"/>
        <v>#DIV/0!</v>
      </c>
      <c r="R66" s="160">
        <f t="shared" si="3"/>
        <v>0</v>
      </c>
      <c r="S66" s="160">
        <f t="shared" si="32"/>
        <v>0</v>
      </c>
      <c r="T66" s="120"/>
      <c r="U66" s="119"/>
      <c r="V66" s="115"/>
      <c r="W66" s="120"/>
      <c r="X66" s="120"/>
      <c r="Y66" s="158"/>
      <c r="Z66" s="160"/>
      <c r="AA66" s="160"/>
      <c r="AB66" s="160"/>
      <c r="AC66" s="160"/>
      <c r="AD66" s="119"/>
      <c r="AE66" s="115"/>
      <c r="AF66" s="115"/>
      <c r="AG66" s="115"/>
      <c r="AH66" s="115"/>
      <c r="AI66" s="115"/>
      <c r="AJ66" s="115"/>
      <c r="AK66" s="115"/>
      <c r="AL66" s="115"/>
    </row>
    <row r="67" spans="1:38">
      <c r="A67" s="13">
        <f t="shared" si="0"/>
        <v>60</v>
      </c>
      <c r="B67" s="123"/>
      <c r="C67" s="116"/>
      <c r="D67" s="116"/>
      <c r="E67" s="115"/>
      <c r="F67" s="116"/>
      <c r="G67" s="115"/>
      <c r="H67" s="117"/>
      <c r="I67" s="115"/>
      <c r="J67" s="115"/>
      <c r="K67" s="115"/>
      <c r="L67" s="115"/>
      <c r="M67" s="156">
        <f t="shared" si="29"/>
        <v>0</v>
      </c>
      <c r="N67" s="156"/>
      <c r="O67" s="156"/>
      <c r="P67" s="119">
        <f t="shared" si="30"/>
        <v>0</v>
      </c>
      <c r="Q67" s="115" t="e">
        <f t="shared" si="31"/>
        <v>#DIV/0!</v>
      </c>
      <c r="R67" s="160">
        <f t="shared" si="3"/>
        <v>0</v>
      </c>
      <c r="S67" s="160">
        <f t="shared" si="32"/>
        <v>0</v>
      </c>
      <c r="T67" s="120"/>
      <c r="U67" s="119"/>
      <c r="V67" s="115"/>
      <c r="W67" s="120"/>
      <c r="X67" s="120"/>
      <c r="Y67" s="158"/>
      <c r="Z67" s="160"/>
      <c r="AA67" s="160"/>
      <c r="AB67" s="160"/>
      <c r="AC67" s="160"/>
      <c r="AD67" s="119"/>
      <c r="AE67" s="115"/>
      <c r="AF67" s="115"/>
      <c r="AG67" s="115"/>
      <c r="AH67" s="115"/>
      <c r="AI67" s="115"/>
      <c r="AJ67" s="115"/>
      <c r="AK67" s="115"/>
      <c r="AL67" s="115"/>
    </row>
    <row r="68" spans="1:38">
      <c r="A68" s="13">
        <f t="shared" si="0"/>
        <v>61</v>
      </c>
      <c r="B68" s="123"/>
      <c r="C68" s="116"/>
      <c r="D68" s="116"/>
      <c r="E68" s="115"/>
      <c r="F68" s="116"/>
      <c r="G68" s="115"/>
      <c r="H68" s="117"/>
      <c r="I68" s="115"/>
      <c r="J68" s="115"/>
      <c r="K68" s="115"/>
      <c r="L68" s="115"/>
      <c r="M68" s="156">
        <f t="shared" si="29"/>
        <v>0</v>
      </c>
      <c r="N68" s="156"/>
      <c r="O68" s="156"/>
      <c r="P68" s="119">
        <f t="shared" si="30"/>
        <v>0</v>
      </c>
      <c r="Q68" s="115" t="e">
        <f t="shared" si="31"/>
        <v>#DIV/0!</v>
      </c>
      <c r="R68" s="160">
        <f t="shared" si="3"/>
        <v>0</v>
      </c>
      <c r="S68" s="160">
        <f t="shared" si="32"/>
        <v>0</v>
      </c>
      <c r="T68" s="120"/>
      <c r="U68" s="119"/>
      <c r="V68" s="115"/>
      <c r="W68" s="120"/>
      <c r="X68" s="120"/>
      <c r="Y68" s="158"/>
      <c r="Z68" s="160"/>
      <c r="AA68" s="160"/>
      <c r="AB68" s="160"/>
      <c r="AC68" s="160"/>
      <c r="AD68" s="119"/>
      <c r="AE68" s="115"/>
      <c r="AF68" s="115"/>
      <c r="AG68" s="115"/>
      <c r="AH68" s="115"/>
      <c r="AI68" s="115"/>
      <c r="AJ68" s="115"/>
      <c r="AK68" s="115"/>
      <c r="AL68" s="115"/>
    </row>
    <row r="69" spans="1:38">
      <c r="A69" s="13">
        <f t="shared" si="0"/>
        <v>62</v>
      </c>
      <c r="B69" s="123"/>
      <c r="C69" s="116"/>
      <c r="D69" s="116"/>
      <c r="E69" s="115"/>
      <c r="F69" s="116"/>
      <c r="G69" s="115"/>
      <c r="H69" s="117"/>
      <c r="I69" s="115"/>
      <c r="J69" s="115"/>
      <c r="K69" s="115"/>
      <c r="L69" s="115"/>
      <c r="M69" s="156">
        <f t="shared" si="29"/>
        <v>0</v>
      </c>
      <c r="N69" s="156"/>
      <c r="O69" s="156"/>
      <c r="P69" s="119">
        <f t="shared" si="30"/>
        <v>0</v>
      </c>
      <c r="Q69" s="115" t="e">
        <f t="shared" si="31"/>
        <v>#DIV/0!</v>
      </c>
      <c r="R69" s="160">
        <f t="shared" si="3"/>
        <v>0</v>
      </c>
      <c r="S69" s="160">
        <f t="shared" si="32"/>
        <v>0</v>
      </c>
      <c r="T69" s="120"/>
      <c r="U69" s="119"/>
      <c r="V69" s="115"/>
      <c r="W69" s="120"/>
      <c r="X69" s="120"/>
      <c r="Y69" s="158"/>
      <c r="Z69" s="160"/>
      <c r="AA69" s="160"/>
      <c r="AB69" s="160"/>
      <c r="AC69" s="160"/>
      <c r="AD69" s="119"/>
      <c r="AE69" s="115"/>
      <c r="AF69" s="115"/>
      <c r="AG69" s="115"/>
      <c r="AH69" s="115"/>
      <c r="AI69" s="115"/>
      <c r="AJ69" s="115"/>
      <c r="AK69" s="115"/>
      <c r="AL69" s="115"/>
    </row>
    <row r="70" spans="1:38">
      <c r="A70" s="13">
        <f t="shared" si="0"/>
        <v>63</v>
      </c>
      <c r="B70" s="123"/>
      <c r="C70" s="116"/>
      <c r="D70" s="116"/>
      <c r="E70" s="115"/>
      <c r="F70" s="116"/>
      <c r="G70" s="115"/>
      <c r="H70" s="117"/>
      <c r="I70" s="115"/>
      <c r="J70" s="115"/>
      <c r="K70" s="115"/>
      <c r="L70" s="115"/>
      <c r="M70" s="156">
        <f t="shared" si="29"/>
        <v>0</v>
      </c>
      <c r="N70" s="156"/>
      <c r="O70" s="156"/>
      <c r="P70" s="119">
        <f t="shared" si="30"/>
        <v>0</v>
      </c>
      <c r="Q70" s="115" t="e">
        <f t="shared" si="31"/>
        <v>#DIV/0!</v>
      </c>
      <c r="R70" s="160">
        <f t="shared" si="3"/>
        <v>0</v>
      </c>
      <c r="S70" s="160">
        <f t="shared" si="32"/>
        <v>0</v>
      </c>
      <c r="T70" s="120"/>
      <c r="U70" s="119"/>
      <c r="V70" s="115"/>
      <c r="W70" s="120"/>
      <c r="X70" s="120"/>
      <c r="Y70" s="158"/>
      <c r="Z70" s="160"/>
      <c r="AA70" s="160"/>
      <c r="AB70" s="160"/>
      <c r="AC70" s="160"/>
      <c r="AD70" s="119"/>
      <c r="AE70" s="115"/>
      <c r="AF70" s="115"/>
      <c r="AG70" s="115"/>
      <c r="AH70" s="115"/>
      <c r="AI70" s="115"/>
      <c r="AJ70" s="115"/>
      <c r="AK70" s="115"/>
      <c r="AL70" s="115"/>
    </row>
    <row r="71" spans="1:38">
      <c r="A71" s="13">
        <f t="shared" si="0"/>
        <v>64</v>
      </c>
      <c r="B71" s="123"/>
      <c r="C71" s="116"/>
      <c r="D71" s="116"/>
      <c r="E71" s="115"/>
      <c r="F71" s="116"/>
      <c r="G71" s="115"/>
      <c r="H71" s="117"/>
      <c r="I71" s="115"/>
      <c r="J71" s="115"/>
      <c r="K71" s="115"/>
      <c r="L71" s="115"/>
      <c r="M71" s="156">
        <f t="shared" si="29"/>
        <v>0</v>
      </c>
      <c r="N71" s="156"/>
      <c r="O71" s="156"/>
      <c r="P71" s="119">
        <f t="shared" si="30"/>
        <v>0</v>
      </c>
      <c r="Q71" s="115" t="e">
        <f t="shared" si="31"/>
        <v>#DIV/0!</v>
      </c>
      <c r="R71" s="160">
        <f t="shared" si="3"/>
        <v>0</v>
      </c>
      <c r="S71" s="160">
        <f t="shared" si="32"/>
        <v>0</v>
      </c>
      <c r="T71" s="120"/>
      <c r="U71" s="119"/>
      <c r="V71" s="115"/>
      <c r="W71" s="120"/>
      <c r="X71" s="120"/>
      <c r="Y71" s="158"/>
      <c r="Z71" s="160"/>
      <c r="AA71" s="160"/>
      <c r="AB71" s="160"/>
      <c r="AC71" s="160"/>
      <c r="AD71" s="119"/>
      <c r="AE71" s="115"/>
      <c r="AF71" s="115"/>
      <c r="AG71" s="115"/>
      <c r="AH71" s="115"/>
      <c r="AI71" s="115"/>
      <c r="AJ71" s="115"/>
      <c r="AK71" s="115"/>
      <c r="AL71" s="115"/>
    </row>
    <row r="72" spans="1:38">
      <c r="A72" s="13">
        <f t="shared" si="0"/>
        <v>65</v>
      </c>
      <c r="B72" s="123"/>
      <c r="C72" s="116"/>
      <c r="D72" s="116"/>
      <c r="E72" s="115"/>
      <c r="F72" s="116"/>
      <c r="G72" s="115"/>
      <c r="H72" s="117"/>
      <c r="I72" s="115"/>
      <c r="J72" s="115"/>
      <c r="K72" s="115"/>
      <c r="L72" s="115"/>
      <c r="M72" s="156">
        <f t="shared" si="29"/>
        <v>0</v>
      </c>
      <c r="N72" s="156"/>
      <c r="O72" s="156"/>
      <c r="P72" s="119">
        <f t="shared" si="30"/>
        <v>0</v>
      </c>
      <c r="Q72" s="115" t="e">
        <f t="shared" ref="Q72:Q135" si="33">K72/$J72</f>
        <v>#DIV/0!</v>
      </c>
      <c r="R72" s="160">
        <f t="shared" ref="R72:R135" si="34">$J72*$I72</f>
        <v>0</v>
      </c>
      <c r="S72" s="160">
        <f t="shared" si="32"/>
        <v>0</v>
      </c>
      <c r="T72" s="120"/>
      <c r="U72" s="119"/>
      <c r="V72" s="115"/>
      <c r="W72" s="120"/>
      <c r="X72" s="120"/>
      <c r="Y72" s="158"/>
      <c r="Z72" s="160"/>
      <c r="AA72" s="160"/>
      <c r="AB72" s="160"/>
      <c r="AC72" s="160"/>
      <c r="AD72" s="119"/>
      <c r="AE72" s="115"/>
      <c r="AF72" s="115"/>
      <c r="AG72" s="115"/>
      <c r="AH72" s="115"/>
      <c r="AI72" s="115"/>
      <c r="AJ72" s="115"/>
      <c r="AK72" s="115"/>
      <c r="AL72" s="115"/>
    </row>
    <row r="73" spans="1:38">
      <c r="A73" s="13">
        <f t="shared" ref="A73:A136" si="35">A72+1</f>
        <v>66</v>
      </c>
      <c r="B73" s="123"/>
      <c r="C73" s="116"/>
      <c r="D73" s="116"/>
      <c r="E73" s="115"/>
      <c r="F73" s="116"/>
      <c r="G73" s="115"/>
      <c r="H73" s="117"/>
      <c r="I73" s="115"/>
      <c r="J73" s="115"/>
      <c r="K73" s="115"/>
      <c r="L73" s="115"/>
      <c r="M73" s="156">
        <f t="shared" si="29"/>
        <v>0</v>
      </c>
      <c r="N73" s="156"/>
      <c r="O73" s="156"/>
      <c r="P73" s="119">
        <f t="shared" si="30"/>
        <v>0</v>
      </c>
      <c r="Q73" s="115" t="e">
        <f t="shared" si="33"/>
        <v>#DIV/0!</v>
      </c>
      <c r="R73" s="160">
        <f t="shared" si="34"/>
        <v>0</v>
      </c>
      <c r="S73" s="160">
        <f t="shared" si="32"/>
        <v>0</v>
      </c>
      <c r="T73" s="120"/>
      <c r="U73" s="119"/>
      <c r="V73" s="115"/>
      <c r="W73" s="120"/>
      <c r="X73" s="120"/>
      <c r="Y73" s="158"/>
      <c r="Z73" s="160"/>
      <c r="AA73" s="160"/>
      <c r="AB73" s="160"/>
      <c r="AC73" s="160"/>
      <c r="AD73" s="119"/>
      <c r="AE73" s="115"/>
      <c r="AF73" s="115"/>
      <c r="AG73" s="115"/>
      <c r="AH73" s="115"/>
      <c r="AI73" s="115"/>
      <c r="AJ73" s="115"/>
      <c r="AK73" s="115"/>
      <c r="AL73" s="115"/>
    </row>
    <row r="74" spans="1:38">
      <c r="A74" s="13">
        <f t="shared" si="35"/>
        <v>67</v>
      </c>
      <c r="B74" s="123"/>
      <c r="C74" s="116"/>
      <c r="D74" s="116"/>
      <c r="E74" s="115"/>
      <c r="F74" s="116"/>
      <c r="G74" s="115"/>
      <c r="H74" s="117"/>
      <c r="I74" s="115"/>
      <c r="J74" s="115"/>
      <c r="K74" s="115"/>
      <c r="L74" s="115"/>
      <c r="M74" s="156">
        <f t="shared" si="29"/>
        <v>0</v>
      </c>
      <c r="N74" s="156"/>
      <c r="O74" s="156"/>
      <c r="P74" s="119">
        <f t="shared" si="30"/>
        <v>0</v>
      </c>
      <c r="Q74" s="115" t="e">
        <f t="shared" si="33"/>
        <v>#DIV/0!</v>
      </c>
      <c r="R74" s="160">
        <f t="shared" si="34"/>
        <v>0</v>
      </c>
      <c r="S74" s="160">
        <f t="shared" si="32"/>
        <v>0</v>
      </c>
      <c r="T74" s="120"/>
      <c r="U74" s="119"/>
      <c r="V74" s="115"/>
      <c r="W74" s="120"/>
      <c r="X74" s="120"/>
      <c r="Y74" s="158"/>
      <c r="Z74" s="160"/>
      <c r="AA74" s="160"/>
      <c r="AB74" s="160"/>
      <c r="AC74" s="160"/>
      <c r="AD74" s="119"/>
      <c r="AE74" s="115"/>
      <c r="AF74" s="115"/>
      <c r="AG74" s="115"/>
      <c r="AH74" s="115"/>
      <c r="AI74" s="115"/>
      <c r="AJ74" s="115"/>
      <c r="AK74" s="115"/>
      <c r="AL74" s="115"/>
    </row>
    <row r="75" spans="1:38">
      <c r="A75" s="13">
        <f t="shared" si="35"/>
        <v>68</v>
      </c>
      <c r="B75" s="123"/>
      <c r="C75" s="116"/>
      <c r="D75" s="116"/>
      <c r="E75" s="115"/>
      <c r="F75" s="116"/>
      <c r="G75" s="115"/>
      <c r="H75" s="117"/>
      <c r="I75" s="115"/>
      <c r="J75" s="115"/>
      <c r="K75" s="115"/>
      <c r="L75" s="115"/>
      <c r="M75" s="156">
        <f t="shared" si="29"/>
        <v>0</v>
      </c>
      <c r="N75" s="156"/>
      <c r="O75" s="156"/>
      <c r="P75" s="119">
        <f t="shared" si="30"/>
        <v>0</v>
      </c>
      <c r="Q75" s="115" t="e">
        <f t="shared" si="33"/>
        <v>#DIV/0!</v>
      </c>
      <c r="R75" s="160">
        <f t="shared" si="34"/>
        <v>0</v>
      </c>
      <c r="S75" s="160">
        <f t="shared" si="32"/>
        <v>0</v>
      </c>
      <c r="T75" s="120"/>
      <c r="U75" s="119"/>
      <c r="V75" s="115"/>
      <c r="W75" s="120"/>
      <c r="X75" s="120"/>
      <c r="Y75" s="158"/>
      <c r="Z75" s="160"/>
      <c r="AA75" s="160"/>
      <c r="AB75" s="160"/>
      <c r="AC75" s="160"/>
      <c r="AD75" s="119"/>
      <c r="AE75" s="115"/>
      <c r="AF75" s="115"/>
      <c r="AG75" s="115"/>
      <c r="AH75" s="115"/>
      <c r="AI75" s="115"/>
      <c r="AJ75" s="115"/>
      <c r="AK75" s="115"/>
      <c r="AL75" s="115"/>
    </row>
    <row r="76" spans="1:38">
      <c r="A76" s="13">
        <f t="shared" si="35"/>
        <v>69</v>
      </c>
      <c r="B76" s="123"/>
      <c r="C76" s="116"/>
      <c r="D76" s="116"/>
      <c r="E76" s="115"/>
      <c r="F76" s="116"/>
      <c r="G76" s="115"/>
      <c r="H76" s="117"/>
      <c r="I76" s="115"/>
      <c r="J76" s="115"/>
      <c r="K76" s="115"/>
      <c r="L76" s="115"/>
      <c r="M76" s="156">
        <f t="shared" si="29"/>
        <v>0</v>
      </c>
      <c r="N76" s="156"/>
      <c r="O76" s="156"/>
      <c r="P76" s="119">
        <f t="shared" si="30"/>
        <v>0</v>
      </c>
      <c r="Q76" s="115" t="e">
        <f t="shared" si="33"/>
        <v>#DIV/0!</v>
      </c>
      <c r="R76" s="160">
        <f t="shared" si="34"/>
        <v>0</v>
      </c>
      <c r="S76" s="160">
        <f t="shared" si="32"/>
        <v>0</v>
      </c>
      <c r="T76" s="120"/>
      <c r="U76" s="119"/>
      <c r="V76" s="115"/>
      <c r="W76" s="120"/>
      <c r="X76" s="120"/>
      <c r="Y76" s="158"/>
      <c r="Z76" s="160"/>
      <c r="AA76" s="160"/>
      <c r="AB76" s="160"/>
      <c r="AC76" s="160"/>
      <c r="AD76" s="119"/>
      <c r="AE76" s="115"/>
      <c r="AF76" s="115"/>
      <c r="AG76" s="115"/>
      <c r="AH76" s="115"/>
      <c r="AI76" s="115"/>
      <c r="AJ76" s="115"/>
      <c r="AK76" s="115"/>
      <c r="AL76" s="115"/>
    </row>
    <row r="77" spans="1:38">
      <c r="A77" s="13">
        <f t="shared" si="35"/>
        <v>70</v>
      </c>
      <c r="B77" s="123"/>
      <c r="C77" s="116"/>
      <c r="D77" s="116"/>
      <c r="E77" s="115"/>
      <c r="F77" s="116"/>
      <c r="G77" s="115"/>
      <c r="H77" s="117"/>
      <c r="I77" s="115"/>
      <c r="J77" s="115"/>
      <c r="K77" s="115"/>
      <c r="L77" s="115"/>
      <c r="M77" s="156">
        <f t="shared" si="29"/>
        <v>0</v>
      </c>
      <c r="N77" s="156"/>
      <c r="O77" s="156"/>
      <c r="P77" s="119">
        <f t="shared" si="30"/>
        <v>0</v>
      </c>
      <c r="Q77" s="115" t="e">
        <f t="shared" si="33"/>
        <v>#DIV/0!</v>
      </c>
      <c r="R77" s="160">
        <f t="shared" si="34"/>
        <v>0</v>
      </c>
      <c r="S77" s="160">
        <f t="shared" si="32"/>
        <v>0</v>
      </c>
      <c r="T77" s="120"/>
      <c r="U77" s="119"/>
      <c r="V77" s="115"/>
      <c r="W77" s="120"/>
      <c r="X77" s="120"/>
      <c r="Y77" s="158"/>
      <c r="Z77" s="160"/>
      <c r="AA77" s="160"/>
      <c r="AB77" s="160"/>
      <c r="AC77" s="160"/>
      <c r="AD77" s="119"/>
      <c r="AE77" s="115"/>
      <c r="AF77" s="115"/>
      <c r="AG77" s="115"/>
      <c r="AH77" s="115"/>
      <c r="AI77" s="115"/>
      <c r="AJ77" s="115"/>
      <c r="AK77" s="115"/>
      <c r="AL77" s="115"/>
    </row>
    <row r="78" spans="1:38">
      <c r="A78" s="13">
        <f t="shared" si="35"/>
        <v>71</v>
      </c>
      <c r="B78" s="123"/>
      <c r="C78" s="116"/>
      <c r="D78" s="116"/>
      <c r="E78" s="115"/>
      <c r="F78" s="116"/>
      <c r="G78" s="115"/>
      <c r="H78" s="117"/>
      <c r="I78" s="115"/>
      <c r="J78" s="115"/>
      <c r="K78" s="115"/>
      <c r="L78" s="115"/>
      <c r="M78" s="156">
        <f t="shared" si="29"/>
        <v>0</v>
      </c>
      <c r="N78" s="156"/>
      <c r="O78" s="156"/>
      <c r="P78" s="119">
        <f t="shared" si="30"/>
        <v>0</v>
      </c>
      <c r="Q78" s="115" t="e">
        <f t="shared" si="33"/>
        <v>#DIV/0!</v>
      </c>
      <c r="R78" s="160">
        <f t="shared" si="34"/>
        <v>0</v>
      </c>
      <c r="S78" s="160">
        <f t="shared" si="32"/>
        <v>0</v>
      </c>
      <c r="T78" s="120"/>
      <c r="U78" s="119"/>
      <c r="V78" s="115"/>
      <c r="W78" s="120"/>
      <c r="X78" s="120"/>
      <c r="Y78" s="158"/>
      <c r="Z78" s="160"/>
      <c r="AA78" s="160"/>
      <c r="AB78" s="160"/>
      <c r="AC78" s="160"/>
      <c r="AD78" s="119"/>
      <c r="AE78" s="115"/>
      <c r="AF78" s="115"/>
      <c r="AG78" s="115"/>
      <c r="AH78" s="115"/>
      <c r="AI78" s="115"/>
      <c r="AJ78" s="115"/>
      <c r="AK78" s="115"/>
      <c r="AL78" s="115"/>
    </row>
    <row r="79" spans="1:38">
      <c r="A79" s="13">
        <f t="shared" si="35"/>
        <v>72</v>
      </c>
      <c r="B79" s="123"/>
      <c r="C79" s="116"/>
      <c r="D79" s="116"/>
      <c r="E79" s="115"/>
      <c r="F79" s="116"/>
      <c r="G79" s="115"/>
      <c r="H79" s="117"/>
      <c r="I79" s="115"/>
      <c r="J79" s="115"/>
      <c r="K79" s="115"/>
      <c r="L79" s="115"/>
      <c r="M79" s="156">
        <f t="shared" si="29"/>
        <v>0</v>
      </c>
      <c r="N79" s="156"/>
      <c r="O79" s="156"/>
      <c r="P79" s="119">
        <f t="shared" si="30"/>
        <v>0</v>
      </c>
      <c r="Q79" s="115" t="e">
        <f t="shared" si="33"/>
        <v>#DIV/0!</v>
      </c>
      <c r="R79" s="160">
        <f t="shared" si="34"/>
        <v>0</v>
      </c>
      <c r="S79" s="160">
        <f t="shared" si="32"/>
        <v>0</v>
      </c>
      <c r="T79" s="120"/>
      <c r="U79" s="119"/>
      <c r="V79" s="115"/>
      <c r="W79" s="120"/>
      <c r="X79" s="120"/>
      <c r="Y79" s="158"/>
      <c r="Z79" s="160"/>
      <c r="AA79" s="160"/>
      <c r="AB79" s="160"/>
      <c r="AC79" s="160"/>
      <c r="AD79" s="119"/>
      <c r="AE79" s="115"/>
      <c r="AF79" s="115"/>
      <c r="AG79" s="115"/>
      <c r="AH79" s="115"/>
      <c r="AI79" s="115"/>
      <c r="AJ79" s="115"/>
      <c r="AK79" s="115"/>
      <c r="AL79" s="115"/>
    </row>
    <row r="80" spans="1:38">
      <c r="A80" s="13">
        <f t="shared" si="35"/>
        <v>73</v>
      </c>
      <c r="B80" s="123"/>
      <c r="C80" s="116"/>
      <c r="D80" s="116"/>
      <c r="E80" s="115"/>
      <c r="F80" s="116"/>
      <c r="G80" s="115"/>
      <c r="H80" s="117"/>
      <c r="I80" s="115"/>
      <c r="J80" s="115"/>
      <c r="K80" s="115"/>
      <c r="L80" s="115"/>
      <c r="M80" s="156">
        <f t="shared" si="29"/>
        <v>0</v>
      </c>
      <c r="N80" s="156"/>
      <c r="O80" s="156"/>
      <c r="P80" s="119">
        <f t="shared" si="30"/>
        <v>0</v>
      </c>
      <c r="Q80" s="115" t="e">
        <f t="shared" si="33"/>
        <v>#DIV/0!</v>
      </c>
      <c r="R80" s="160">
        <f t="shared" si="34"/>
        <v>0</v>
      </c>
      <c r="S80" s="160">
        <f t="shared" si="32"/>
        <v>0</v>
      </c>
      <c r="T80" s="120"/>
      <c r="U80" s="119"/>
      <c r="V80" s="115"/>
      <c r="W80" s="120"/>
      <c r="X80" s="120"/>
      <c r="Y80" s="158"/>
      <c r="Z80" s="160"/>
      <c r="AA80" s="160"/>
      <c r="AB80" s="160"/>
      <c r="AC80" s="160"/>
      <c r="AD80" s="119"/>
      <c r="AE80" s="115"/>
      <c r="AF80" s="115"/>
      <c r="AG80" s="115"/>
      <c r="AH80" s="115"/>
      <c r="AI80" s="115"/>
      <c r="AJ80" s="115"/>
      <c r="AK80" s="115"/>
      <c r="AL80" s="115"/>
    </row>
    <row r="81" spans="1:38">
      <c r="A81" s="13">
        <f t="shared" si="35"/>
        <v>74</v>
      </c>
      <c r="B81" s="123"/>
      <c r="C81" s="116"/>
      <c r="D81" s="116"/>
      <c r="E81" s="115"/>
      <c r="F81" s="116"/>
      <c r="G81" s="115"/>
      <c r="H81" s="117"/>
      <c r="I81" s="115"/>
      <c r="J81" s="115"/>
      <c r="K81" s="115"/>
      <c r="L81" s="115"/>
      <c r="M81" s="156">
        <f t="shared" si="29"/>
        <v>0</v>
      </c>
      <c r="N81" s="156"/>
      <c r="O81" s="156"/>
      <c r="P81" s="119">
        <f t="shared" si="30"/>
        <v>0</v>
      </c>
      <c r="Q81" s="115" t="e">
        <f t="shared" si="33"/>
        <v>#DIV/0!</v>
      </c>
      <c r="R81" s="160">
        <f t="shared" si="34"/>
        <v>0</v>
      </c>
      <c r="S81" s="160">
        <f t="shared" si="32"/>
        <v>0</v>
      </c>
      <c r="T81" s="120"/>
      <c r="U81" s="119"/>
      <c r="V81" s="115"/>
      <c r="W81" s="120"/>
      <c r="X81" s="120"/>
      <c r="Y81" s="158"/>
      <c r="Z81" s="160"/>
      <c r="AA81" s="160"/>
      <c r="AB81" s="160"/>
      <c r="AC81" s="160"/>
      <c r="AD81" s="119"/>
      <c r="AE81" s="115"/>
      <c r="AF81" s="115"/>
      <c r="AG81" s="115"/>
      <c r="AH81" s="115"/>
      <c r="AI81" s="115"/>
      <c r="AJ81" s="115"/>
      <c r="AK81" s="115"/>
      <c r="AL81" s="115"/>
    </row>
    <row r="82" spans="1:38">
      <c r="A82" s="13">
        <f t="shared" si="35"/>
        <v>75</v>
      </c>
      <c r="B82" s="123"/>
      <c r="C82" s="116"/>
      <c r="D82" s="116"/>
      <c r="E82" s="115"/>
      <c r="F82" s="116"/>
      <c r="G82" s="115"/>
      <c r="H82" s="117"/>
      <c r="I82" s="115"/>
      <c r="J82" s="115"/>
      <c r="K82" s="115"/>
      <c r="L82" s="115"/>
      <c r="M82" s="156">
        <f t="shared" si="29"/>
        <v>0</v>
      </c>
      <c r="N82" s="156"/>
      <c r="O82" s="156"/>
      <c r="P82" s="119">
        <f t="shared" si="30"/>
        <v>0</v>
      </c>
      <c r="Q82" s="115" t="e">
        <f t="shared" si="33"/>
        <v>#DIV/0!</v>
      </c>
      <c r="R82" s="160">
        <f t="shared" si="34"/>
        <v>0</v>
      </c>
      <c r="S82" s="160">
        <f t="shared" si="32"/>
        <v>0</v>
      </c>
      <c r="T82" s="120"/>
      <c r="U82" s="119"/>
      <c r="V82" s="115"/>
      <c r="W82" s="120"/>
      <c r="X82" s="120"/>
      <c r="Y82" s="158"/>
      <c r="Z82" s="160"/>
      <c r="AA82" s="160"/>
      <c r="AB82" s="160"/>
      <c r="AC82" s="160"/>
      <c r="AD82" s="119"/>
      <c r="AE82" s="115"/>
      <c r="AF82" s="115"/>
      <c r="AG82" s="115"/>
      <c r="AH82" s="115"/>
      <c r="AI82" s="115"/>
      <c r="AJ82" s="115"/>
      <c r="AK82" s="115"/>
      <c r="AL82" s="115"/>
    </row>
    <row r="83" spans="1:38">
      <c r="A83" s="13">
        <f t="shared" si="35"/>
        <v>76</v>
      </c>
      <c r="B83" s="123"/>
      <c r="C83" s="116"/>
      <c r="D83" s="116"/>
      <c r="E83" s="115"/>
      <c r="F83" s="116"/>
      <c r="G83" s="115"/>
      <c r="H83" s="117"/>
      <c r="I83" s="115"/>
      <c r="J83" s="115"/>
      <c r="K83" s="115"/>
      <c r="L83" s="115"/>
      <c r="M83" s="156">
        <f t="shared" si="29"/>
        <v>0</v>
      </c>
      <c r="N83" s="156"/>
      <c r="O83" s="156"/>
      <c r="P83" s="119">
        <f t="shared" si="30"/>
        <v>0</v>
      </c>
      <c r="Q83" s="115" t="e">
        <f t="shared" si="33"/>
        <v>#DIV/0!</v>
      </c>
      <c r="R83" s="160">
        <f t="shared" si="34"/>
        <v>0</v>
      </c>
      <c r="S83" s="160">
        <f t="shared" si="32"/>
        <v>0</v>
      </c>
      <c r="T83" s="120"/>
      <c r="U83" s="119"/>
      <c r="V83" s="115"/>
      <c r="W83" s="120"/>
      <c r="X83" s="120"/>
      <c r="Y83" s="158"/>
      <c r="Z83" s="160"/>
      <c r="AA83" s="160"/>
      <c r="AB83" s="160"/>
      <c r="AC83" s="160"/>
      <c r="AD83" s="119"/>
      <c r="AE83" s="115"/>
      <c r="AF83" s="115"/>
      <c r="AG83" s="115"/>
      <c r="AH83" s="115"/>
      <c r="AI83" s="115"/>
      <c r="AJ83" s="115"/>
      <c r="AK83" s="115"/>
      <c r="AL83" s="115"/>
    </row>
    <row r="84" spans="1:38">
      <c r="A84" s="13">
        <f t="shared" si="35"/>
        <v>77</v>
      </c>
      <c r="B84" s="123"/>
      <c r="C84" s="116"/>
      <c r="D84" s="116"/>
      <c r="E84" s="115"/>
      <c r="F84" s="116"/>
      <c r="G84" s="115"/>
      <c r="H84" s="117"/>
      <c r="I84" s="115"/>
      <c r="J84" s="115"/>
      <c r="K84" s="115"/>
      <c r="L84" s="115"/>
      <c r="M84" s="156">
        <f t="shared" si="29"/>
        <v>0</v>
      </c>
      <c r="N84" s="156"/>
      <c r="O84" s="156"/>
      <c r="P84" s="119">
        <f t="shared" si="30"/>
        <v>0</v>
      </c>
      <c r="Q84" s="115" t="e">
        <f t="shared" si="33"/>
        <v>#DIV/0!</v>
      </c>
      <c r="R84" s="160">
        <f t="shared" si="34"/>
        <v>0</v>
      </c>
      <c r="S84" s="160">
        <f t="shared" si="32"/>
        <v>0</v>
      </c>
      <c r="T84" s="120"/>
      <c r="U84" s="119"/>
      <c r="V84" s="115"/>
      <c r="W84" s="120"/>
      <c r="X84" s="120"/>
      <c r="Y84" s="158"/>
      <c r="Z84" s="160"/>
      <c r="AA84" s="160"/>
      <c r="AB84" s="160"/>
      <c r="AC84" s="160"/>
      <c r="AD84" s="119"/>
      <c r="AE84" s="115"/>
      <c r="AF84" s="115"/>
      <c r="AG84" s="115"/>
      <c r="AH84" s="115"/>
      <c r="AI84" s="115"/>
      <c r="AJ84" s="115"/>
      <c r="AK84" s="115"/>
      <c r="AL84" s="115"/>
    </row>
    <row r="85" spans="1:38">
      <c r="A85" s="13">
        <f t="shared" si="35"/>
        <v>78</v>
      </c>
      <c r="B85" s="123"/>
      <c r="C85" s="116"/>
      <c r="D85" s="116"/>
      <c r="E85" s="115"/>
      <c r="F85" s="116"/>
      <c r="G85" s="115"/>
      <c r="H85" s="117"/>
      <c r="I85" s="115"/>
      <c r="J85" s="115"/>
      <c r="K85" s="115"/>
      <c r="L85" s="115"/>
      <c r="M85" s="156">
        <f t="shared" si="29"/>
        <v>0</v>
      </c>
      <c r="N85" s="156"/>
      <c r="O85" s="156"/>
      <c r="P85" s="119">
        <f t="shared" si="30"/>
        <v>0</v>
      </c>
      <c r="Q85" s="115" t="e">
        <f t="shared" si="33"/>
        <v>#DIV/0!</v>
      </c>
      <c r="R85" s="160">
        <f t="shared" si="34"/>
        <v>0</v>
      </c>
      <c r="S85" s="160">
        <f t="shared" si="32"/>
        <v>0</v>
      </c>
      <c r="T85" s="120"/>
      <c r="U85" s="119"/>
      <c r="V85" s="115"/>
      <c r="W85" s="120"/>
      <c r="X85" s="120"/>
      <c r="Y85" s="158"/>
      <c r="Z85" s="160"/>
      <c r="AA85" s="160"/>
      <c r="AB85" s="160"/>
      <c r="AC85" s="160"/>
      <c r="AD85" s="119"/>
      <c r="AE85" s="115"/>
      <c r="AF85" s="115"/>
      <c r="AG85" s="115"/>
      <c r="AH85" s="115"/>
      <c r="AI85" s="115"/>
      <c r="AJ85" s="115"/>
      <c r="AK85" s="115"/>
      <c r="AL85" s="115"/>
    </row>
    <row r="86" spans="1:38">
      <c r="A86" s="13">
        <f t="shared" si="35"/>
        <v>79</v>
      </c>
      <c r="B86" s="123"/>
      <c r="C86" s="116"/>
      <c r="D86" s="116"/>
      <c r="E86" s="115"/>
      <c r="F86" s="116"/>
      <c r="G86" s="115"/>
      <c r="H86" s="117"/>
      <c r="I86" s="115"/>
      <c r="J86" s="115"/>
      <c r="K86" s="115"/>
      <c r="L86" s="115"/>
      <c r="M86" s="156">
        <f t="shared" si="29"/>
        <v>0</v>
      </c>
      <c r="N86" s="156"/>
      <c r="O86" s="156"/>
      <c r="P86" s="119">
        <f t="shared" si="30"/>
        <v>0</v>
      </c>
      <c r="Q86" s="115" t="e">
        <f t="shared" si="33"/>
        <v>#DIV/0!</v>
      </c>
      <c r="R86" s="160">
        <f t="shared" si="34"/>
        <v>0</v>
      </c>
      <c r="S86" s="160">
        <f t="shared" si="32"/>
        <v>0</v>
      </c>
      <c r="T86" s="120"/>
      <c r="U86" s="119"/>
      <c r="V86" s="115"/>
      <c r="W86" s="120"/>
      <c r="X86" s="120"/>
      <c r="Y86" s="158"/>
      <c r="Z86" s="160"/>
      <c r="AA86" s="160"/>
      <c r="AB86" s="160"/>
      <c r="AC86" s="160"/>
      <c r="AD86" s="119"/>
      <c r="AE86" s="115"/>
      <c r="AF86" s="115"/>
      <c r="AG86" s="115"/>
      <c r="AH86" s="115"/>
      <c r="AI86" s="115"/>
      <c r="AJ86" s="115"/>
      <c r="AK86" s="115"/>
      <c r="AL86" s="115"/>
    </row>
    <row r="87" spans="1:38">
      <c r="A87" s="13">
        <f t="shared" si="35"/>
        <v>80</v>
      </c>
      <c r="B87" s="123"/>
      <c r="C87" s="116"/>
      <c r="D87" s="116"/>
      <c r="E87" s="115"/>
      <c r="F87" s="116"/>
      <c r="G87" s="115"/>
      <c r="H87" s="117"/>
      <c r="I87" s="115"/>
      <c r="J87" s="115"/>
      <c r="K87" s="115"/>
      <c r="L87" s="115"/>
      <c r="M87" s="156">
        <f t="shared" si="29"/>
        <v>0</v>
      </c>
      <c r="N87" s="156"/>
      <c r="O87" s="156"/>
      <c r="P87" s="119">
        <f t="shared" si="30"/>
        <v>0</v>
      </c>
      <c r="Q87" s="115" t="e">
        <f t="shared" si="33"/>
        <v>#DIV/0!</v>
      </c>
      <c r="R87" s="160">
        <f t="shared" si="34"/>
        <v>0</v>
      </c>
      <c r="S87" s="160">
        <f t="shared" si="32"/>
        <v>0</v>
      </c>
      <c r="T87" s="120"/>
      <c r="U87" s="119"/>
      <c r="V87" s="115"/>
      <c r="W87" s="120"/>
      <c r="X87" s="120"/>
      <c r="Y87" s="158"/>
      <c r="Z87" s="160"/>
      <c r="AA87" s="160"/>
      <c r="AB87" s="160"/>
      <c r="AC87" s="160"/>
      <c r="AD87" s="119"/>
      <c r="AE87" s="115"/>
      <c r="AF87" s="115"/>
      <c r="AG87" s="115"/>
      <c r="AH87" s="115"/>
      <c r="AI87" s="115"/>
      <c r="AJ87" s="115"/>
      <c r="AK87" s="115"/>
      <c r="AL87" s="115"/>
    </row>
    <row r="88" spans="1:38">
      <c r="A88" s="13">
        <f t="shared" si="35"/>
        <v>81</v>
      </c>
      <c r="B88" s="123"/>
      <c r="C88" s="116"/>
      <c r="D88" s="116"/>
      <c r="E88" s="115"/>
      <c r="F88" s="116"/>
      <c r="G88" s="115"/>
      <c r="H88" s="117"/>
      <c r="I88" s="115"/>
      <c r="J88" s="115"/>
      <c r="K88" s="115"/>
      <c r="L88" s="115"/>
      <c r="M88" s="156">
        <f t="shared" si="29"/>
        <v>0</v>
      </c>
      <c r="N88" s="156"/>
      <c r="O88" s="156"/>
      <c r="P88" s="119">
        <f t="shared" si="30"/>
        <v>0</v>
      </c>
      <c r="Q88" s="115" t="e">
        <f t="shared" si="33"/>
        <v>#DIV/0!</v>
      </c>
      <c r="R88" s="160">
        <f t="shared" si="34"/>
        <v>0</v>
      </c>
      <c r="S88" s="160">
        <f t="shared" si="32"/>
        <v>0</v>
      </c>
      <c r="T88" s="120"/>
      <c r="U88" s="119"/>
      <c r="V88" s="115"/>
      <c r="W88" s="120"/>
      <c r="X88" s="120"/>
      <c r="Y88" s="158"/>
      <c r="Z88" s="160"/>
      <c r="AA88" s="160"/>
      <c r="AB88" s="160"/>
      <c r="AC88" s="160"/>
      <c r="AD88" s="119"/>
      <c r="AE88" s="115"/>
      <c r="AF88" s="115"/>
      <c r="AG88" s="115"/>
      <c r="AH88" s="115"/>
      <c r="AI88" s="115"/>
      <c r="AJ88" s="115"/>
      <c r="AK88" s="115"/>
      <c r="AL88" s="115"/>
    </row>
    <row r="89" spans="1:38">
      <c r="A89" s="13">
        <f t="shared" si="35"/>
        <v>82</v>
      </c>
      <c r="B89" s="123"/>
      <c r="C89" s="116"/>
      <c r="D89" s="116"/>
      <c r="E89" s="115"/>
      <c r="F89" s="116"/>
      <c r="G89" s="115"/>
      <c r="H89" s="117"/>
      <c r="I89" s="115"/>
      <c r="J89" s="115"/>
      <c r="K89" s="115"/>
      <c r="L89" s="115"/>
      <c r="M89" s="156">
        <f t="shared" si="29"/>
        <v>0</v>
      </c>
      <c r="N89" s="156"/>
      <c r="O89" s="156"/>
      <c r="P89" s="119">
        <f t="shared" si="30"/>
        <v>0</v>
      </c>
      <c r="Q89" s="115" t="e">
        <f t="shared" si="33"/>
        <v>#DIV/0!</v>
      </c>
      <c r="R89" s="160">
        <f t="shared" si="34"/>
        <v>0</v>
      </c>
      <c r="S89" s="160">
        <f t="shared" si="32"/>
        <v>0</v>
      </c>
      <c r="T89" s="120"/>
      <c r="U89" s="119"/>
      <c r="V89" s="115"/>
      <c r="W89" s="120"/>
      <c r="X89" s="120"/>
      <c r="Y89" s="158"/>
      <c r="Z89" s="160"/>
      <c r="AA89" s="160"/>
      <c r="AB89" s="160"/>
      <c r="AC89" s="160"/>
      <c r="AD89" s="119"/>
      <c r="AE89" s="115"/>
      <c r="AF89" s="115"/>
      <c r="AG89" s="115"/>
      <c r="AH89" s="115"/>
      <c r="AI89" s="115"/>
      <c r="AJ89" s="115"/>
      <c r="AK89" s="115"/>
      <c r="AL89" s="115"/>
    </row>
    <row r="90" spans="1:38">
      <c r="A90" s="13">
        <f t="shared" si="35"/>
        <v>83</v>
      </c>
      <c r="B90" s="123"/>
      <c r="C90" s="116"/>
      <c r="D90" s="116"/>
      <c r="E90" s="115"/>
      <c r="F90" s="116"/>
      <c r="G90" s="115"/>
      <c r="H90" s="117"/>
      <c r="I90" s="115"/>
      <c r="J90" s="115"/>
      <c r="K90" s="115"/>
      <c r="L90" s="115"/>
      <c r="M90" s="156">
        <f t="shared" si="29"/>
        <v>0</v>
      </c>
      <c r="N90" s="156"/>
      <c r="O90" s="156"/>
      <c r="P90" s="119">
        <f t="shared" si="30"/>
        <v>0</v>
      </c>
      <c r="Q90" s="115" t="e">
        <f t="shared" si="33"/>
        <v>#DIV/0!</v>
      </c>
      <c r="R90" s="160">
        <f t="shared" si="34"/>
        <v>0</v>
      </c>
      <c r="S90" s="160">
        <f t="shared" si="32"/>
        <v>0</v>
      </c>
      <c r="T90" s="120"/>
      <c r="U90" s="119"/>
      <c r="V90" s="115"/>
      <c r="W90" s="120"/>
      <c r="X90" s="120"/>
      <c r="Y90" s="158"/>
      <c r="Z90" s="160"/>
      <c r="AA90" s="160"/>
      <c r="AB90" s="160"/>
      <c r="AC90" s="160"/>
      <c r="AD90" s="119"/>
      <c r="AE90" s="115"/>
      <c r="AF90" s="115"/>
      <c r="AG90" s="115"/>
      <c r="AH90" s="115"/>
      <c r="AI90" s="115"/>
      <c r="AJ90" s="115"/>
      <c r="AK90" s="115"/>
      <c r="AL90" s="115"/>
    </row>
    <row r="91" spans="1:38">
      <c r="A91" s="13">
        <f t="shared" si="35"/>
        <v>84</v>
      </c>
      <c r="B91" s="123"/>
      <c r="C91" s="116"/>
      <c r="D91" s="116"/>
      <c r="E91" s="115"/>
      <c r="F91" s="116"/>
      <c r="G91" s="115"/>
      <c r="H91" s="117"/>
      <c r="I91" s="115"/>
      <c r="J91" s="115"/>
      <c r="K91" s="115"/>
      <c r="L91" s="115"/>
      <c r="M91" s="156">
        <f t="shared" si="29"/>
        <v>0</v>
      </c>
      <c r="N91" s="156"/>
      <c r="O91" s="156"/>
      <c r="P91" s="119">
        <f t="shared" si="30"/>
        <v>0</v>
      </c>
      <c r="Q91" s="115" t="e">
        <f t="shared" si="33"/>
        <v>#DIV/0!</v>
      </c>
      <c r="R91" s="160">
        <f t="shared" si="34"/>
        <v>0</v>
      </c>
      <c r="S91" s="160">
        <f t="shared" si="32"/>
        <v>0</v>
      </c>
      <c r="T91" s="120"/>
      <c r="U91" s="119"/>
      <c r="V91" s="115"/>
      <c r="W91" s="120"/>
      <c r="X91" s="120"/>
      <c r="Y91" s="158"/>
      <c r="Z91" s="160"/>
      <c r="AA91" s="160"/>
      <c r="AB91" s="160"/>
      <c r="AC91" s="160"/>
      <c r="AD91" s="119"/>
      <c r="AE91" s="115"/>
      <c r="AF91" s="115"/>
      <c r="AG91" s="115"/>
      <c r="AH91" s="115"/>
      <c r="AI91" s="115"/>
      <c r="AJ91" s="115"/>
      <c r="AK91" s="115"/>
      <c r="AL91" s="115"/>
    </row>
    <row r="92" spans="1:38">
      <c r="A92" s="13">
        <f t="shared" si="35"/>
        <v>85</v>
      </c>
      <c r="B92" s="123"/>
      <c r="C92" s="116"/>
      <c r="D92" s="116"/>
      <c r="E92" s="115"/>
      <c r="F92" s="116"/>
      <c r="G92" s="115"/>
      <c r="H92" s="117"/>
      <c r="I92" s="115"/>
      <c r="J92" s="115"/>
      <c r="K92" s="115"/>
      <c r="L92" s="115"/>
      <c r="M92" s="156">
        <f t="shared" si="29"/>
        <v>0</v>
      </c>
      <c r="N92" s="156"/>
      <c r="O92" s="156"/>
      <c r="P92" s="119">
        <f t="shared" si="30"/>
        <v>0</v>
      </c>
      <c r="Q92" s="115" t="e">
        <f t="shared" si="33"/>
        <v>#DIV/0!</v>
      </c>
      <c r="R92" s="160">
        <f t="shared" si="34"/>
        <v>0</v>
      </c>
      <c r="S92" s="160">
        <f t="shared" si="32"/>
        <v>0</v>
      </c>
      <c r="T92" s="120"/>
      <c r="U92" s="119"/>
      <c r="V92" s="115"/>
      <c r="W92" s="120"/>
      <c r="X92" s="120"/>
      <c r="Y92" s="158"/>
      <c r="Z92" s="160"/>
      <c r="AA92" s="160"/>
      <c r="AB92" s="160"/>
      <c r="AC92" s="160"/>
      <c r="AD92" s="119"/>
      <c r="AE92" s="115"/>
      <c r="AF92" s="115"/>
      <c r="AG92" s="115"/>
      <c r="AH92" s="115"/>
      <c r="AI92" s="115"/>
      <c r="AJ92" s="115"/>
      <c r="AK92" s="115"/>
      <c r="AL92" s="115"/>
    </row>
    <row r="93" spans="1:38">
      <c r="A93" s="13">
        <f t="shared" si="35"/>
        <v>86</v>
      </c>
      <c r="B93" s="123"/>
      <c r="C93" s="116"/>
      <c r="D93" s="116"/>
      <c r="E93" s="115"/>
      <c r="F93" s="116"/>
      <c r="G93" s="115"/>
      <c r="H93" s="117"/>
      <c r="I93" s="115"/>
      <c r="J93" s="115"/>
      <c r="K93" s="115"/>
      <c r="L93" s="115"/>
      <c r="M93" s="156">
        <f t="shared" si="29"/>
        <v>0</v>
      </c>
      <c r="N93" s="156"/>
      <c r="O93" s="156"/>
      <c r="P93" s="119">
        <f t="shared" si="30"/>
        <v>0</v>
      </c>
      <c r="Q93" s="115" t="e">
        <f t="shared" si="33"/>
        <v>#DIV/0!</v>
      </c>
      <c r="R93" s="160">
        <f t="shared" si="34"/>
        <v>0</v>
      </c>
      <c r="S93" s="160">
        <f t="shared" si="32"/>
        <v>0</v>
      </c>
      <c r="T93" s="120"/>
      <c r="U93" s="119"/>
      <c r="V93" s="115"/>
      <c r="W93" s="120"/>
      <c r="X93" s="120"/>
      <c r="Y93" s="158"/>
      <c r="Z93" s="160"/>
      <c r="AA93" s="160"/>
      <c r="AB93" s="160"/>
      <c r="AC93" s="160"/>
      <c r="AD93" s="119"/>
      <c r="AE93" s="115"/>
      <c r="AF93" s="115"/>
      <c r="AG93" s="115"/>
      <c r="AH93" s="115"/>
      <c r="AI93" s="115"/>
      <c r="AJ93" s="115"/>
      <c r="AK93" s="115"/>
      <c r="AL93" s="115"/>
    </row>
    <row r="94" spans="1:38">
      <c r="A94" s="13">
        <f t="shared" si="35"/>
        <v>87</v>
      </c>
      <c r="B94" s="123"/>
      <c r="C94" s="116"/>
      <c r="D94" s="116"/>
      <c r="E94" s="115"/>
      <c r="F94" s="116"/>
      <c r="G94" s="115"/>
      <c r="H94" s="117"/>
      <c r="I94" s="115"/>
      <c r="J94" s="115"/>
      <c r="K94" s="115"/>
      <c r="L94" s="115"/>
      <c r="M94" s="156">
        <f t="shared" si="29"/>
        <v>0</v>
      </c>
      <c r="N94" s="156"/>
      <c r="O94" s="156"/>
      <c r="P94" s="119">
        <f t="shared" si="30"/>
        <v>0</v>
      </c>
      <c r="Q94" s="115" t="e">
        <f t="shared" si="33"/>
        <v>#DIV/0!</v>
      </c>
      <c r="R94" s="160">
        <f t="shared" si="34"/>
        <v>0</v>
      </c>
      <c r="S94" s="160">
        <f t="shared" si="32"/>
        <v>0</v>
      </c>
      <c r="T94" s="120"/>
      <c r="U94" s="119"/>
      <c r="V94" s="115"/>
      <c r="W94" s="120"/>
      <c r="X94" s="120"/>
      <c r="Y94" s="158"/>
      <c r="Z94" s="160"/>
      <c r="AA94" s="160"/>
      <c r="AB94" s="160"/>
      <c r="AC94" s="160"/>
      <c r="AD94" s="119"/>
      <c r="AE94" s="115"/>
      <c r="AF94" s="115"/>
      <c r="AG94" s="115"/>
      <c r="AH94" s="115"/>
      <c r="AI94" s="115"/>
      <c r="AJ94" s="115"/>
      <c r="AK94" s="115"/>
      <c r="AL94" s="115"/>
    </row>
    <row r="95" spans="1:38">
      <c r="A95" s="13">
        <f t="shared" si="35"/>
        <v>88</v>
      </c>
      <c r="B95" s="123"/>
      <c r="C95" s="116"/>
      <c r="D95" s="116"/>
      <c r="E95" s="115"/>
      <c r="F95" s="116"/>
      <c r="G95" s="115"/>
      <c r="H95" s="117"/>
      <c r="I95" s="115"/>
      <c r="J95" s="115"/>
      <c r="K95" s="115"/>
      <c r="L95" s="115"/>
      <c r="M95" s="156">
        <f t="shared" si="29"/>
        <v>0</v>
      </c>
      <c r="N95" s="156"/>
      <c r="O95" s="156"/>
      <c r="P95" s="119">
        <f t="shared" si="30"/>
        <v>0</v>
      </c>
      <c r="Q95" s="115" t="e">
        <f t="shared" si="33"/>
        <v>#DIV/0!</v>
      </c>
      <c r="R95" s="160">
        <f t="shared" si="34"/>
        <v>0</v>
      </c>
      <c r="S95" s="160">
        <f t="shared" si="32"/>
        <v>0</v>
      </c>
      <c r="T95" s="120"/>
      <c r="U95" s="119"/>
      <c r="V95" s="115"/>
      <c r="W95" s="120"/>
      <c r="X95" s="120"/>
      <c r="Y95" s="158"/>
      <c r="Z95" s="160"/>
      <c r="AA95" s="160"/>
      <c r="AB95" s="160"/>
      <c r="AC95" s="160"/>
      <c r="AD95" s="119"/>
      <c r="AE95" s="115"/>
      <c r="AF95" s="115"/>
      <c r="AG95" s="115"/>
      <c r="AH95" s="115"/>
      <c r="AI95" s="115"/>
      <c r="AJ95" s="115"/>
      <c r="AK95" s="115"/>
      <c r="AL95" s="115"/>
    </row>
    <row r="96" spans="1:38">
      <c r="A96" s="13">
        <f t="shared" si="35"/>
        <v>89</v>
      </c>
      <c r="B96" s="123"/>
      <c r="C96" s="116"/>
      <c r="D96" s="116"/>
      <c r="E96" s="115"/>
      <c r="F96" s="116"/>
      <c r="G96" s="115"/>
      <c r="H96" s="117"/>
      <c r="I96" s="115"/>
      <c r="J96" s="115"/>
      <c r="K96" s="115"/>
      <c r="L96" s="115"/>
      <c r="M96" s="156">
        <f t="shared" si="29"/>
        <v>0</v>
      </c>
      <c r="N96" s="156"/>
      <c r="O96" s="156"/>
      <c r="P96" s="119">
        <f t="shared" si="30"/>
        <v>0</v>
      </c>
      <c r="Q96" s="115" t="e">
        <f t="shared" si="33"/>
        <v>#DIV/0!</v>
      </c>
      <c r="R96" s="160">
        <f t="shared" si="34"/>
        <v>0</v>
      </c>
      <c r="S96" s="160">
        <f t="shared" si="32"/>
        <v>0</v>
      </c>
      <c r="T96" s="120"/>
      <c r="U96" s="119"/>
      <c r="V96" s="115"/>
      <c r="W96" s="120"/>
      <c r="X96" s="120"/>
      <c r="Y96" s="158"/>
      <c r="Z96" s="160"/>
      <c r="AA96" s="160"/>
      <c r="AB96" s="160"/>
      <c r="AC96" s="160"/>
      <c r="AD96" s="119"/>
      <c r="AE96" s="115"/>
      <c r="AF96" s="115"/>
      <c r="AG96" s="115"/>
      <c r="AH96" s="115"/>
      <c r="AI96" s="115"/>
      <c r="AJ96" s="115"/>
      <c r="AK96" s="115"/>
      <c r="AL96" s="115"/>
    </row>
    <row r="97" spans="1:38">
      <c r="A97" s="13">
        <f t="shared" si="35"/>
        <v>90</v>
      </c>
      <c r="B97" s="123"/>
      <c r="C97" s="116"/>
      <c r="D97" s="116"/>
      <c r="E97" s="115"/>
      <c r="F97" s="116"/>
      <c r="G97" s="115"/>
      <c r="H97" s="117"/>
      <c r="I97" s="115"/>
      <c r="J97" s="115"/>
      <c r="K97" s="115"/>
      <c r="L97" s="115"/>
      <c r="M97" s="156">
        <f t="shared" si="29"/>
        <v>0</v>
      </c>
      <c r="N97" s="156"/>
      <c r="O97" s="156"/>
      <c r="P97" s="119">
        <f t="shared" si="30"/>
        <v>0</v>
      </c>
      <c r="Q97" s="115" t="e">
        <f t="shared" si="33"/>
        <v>#DIV/0!</v>
      </c>
      <c r="R97" s="160">
        <f t="shared" si="34"/>
        <v>0</v>
      </c>
      <c r="S97" s="160">
        <f t="shared" si="32"/>
        <v>0</v>
      </c>
      <c r="T97" s="120"/>
      <c r="U97" s="119"/>
      <c r="V97" s="115"/>
      <c r="W97" s="120"/>
      <c r="X97" s="120"/>
      <c r="Y97" s="158"/>
      <c r="Z97" s="160"/>
      <c r="AA97" s="160"/>
      <c r="AB97" s="160"/>
      <c r="AC97" s="160"/>
      <c r="AD97" s="119"/>
      <c r="AE97" s="115"/>
      <c r="AF97" s="115"/>
      <c r="AG97" s="115"/>
      <c r="AH97" s="115"/>
      <c r="AI97" s="115"/>
      <c r="AJ97" s="115"/>
      <c r="AK97" s="115"/>
      <c r="AL97" s="115"/>
    </row>
    <row r="98" spans="1:38">
      <c r="A98" s="13">
        <f t="shared" si="35"/>
        <v>91</v>
      </c>
      <c r="B98" s="123"/>
      <c r="C98" s="116"/>
      <c r="D98" s="116"/>
      <c r="E98" s="115"/>
      <c r="F98" s="116"/>
      <c r="G98" s="115"/>
      <c r="H98" s="117"/>
      <c r="I98" s="115"/>
      <c r="J98" s="115"/>
      <c r="K98" s="115"/>
      <c r="L98" s="115"/>
      <c r="M98" s="156">
        <f t="shared" si="29"/>
        <v>0</v>
      </c>
      <c r="N98" s="156"/>
      <c r="O98" s="156"/>
      <c r="P98" s="119">
        <f t="shared" si="30"/>
        <v>0</v>
      </c>
      <c r="Q98" s="115" t="e">
        <f t="shared" si="33"/>
        <v>#DIV/0!</v>
      </c>
      <c r="R98" s="160">
        <f t="shared" si="34"/>
        <v>0</v>
      </c>
      <c r="S98" s="160">
        <f t="shared" si="32"/>
        <v>0</v>
      </c>
      <c r="T98" s="120"/>
      <c r="U98" s="119"/>
      <c r="V98" s="115"/>
      <c r="W98" s="120"/>
      <c r="X98" s="120"/>
      <c r="Y98" s="158"/>
      <c r="Z98" s="160"/>
      <c r="AA98" s="160"/>
      <c r="AB98" s="160"/>
      <c r="AC98" s="160"/>
      <c r="AD98" s="119"/>
      <c r="AE98" s="115"/>
      <c r="AF98" s="115"/>
      <c r="AG98" s="115"/>
      <c r="AH98" s="115"/>
      <c r="AI98" s="115"/>
      <c r="AJ98" s="115"/>
      <c r="AK98" s="115"/>
      <c r="AL98" s="115"/>
    </row>
    <row r="99" spans="1:38">
      <c r="A99" s="13">
        <f t="shared" si="35"/>
        <v>92</v>
      </c>
      <c r="B99" s="123"/>
      <c r="C99" s="116"/>
      <c r="D99" s="116"/>
      <c r="E99" s="115"/>
      <c r="F99" s="116"/>
      <c r="G99" s="115"/>
      <c r="H99" s="117"/>
      <c r="I99" s="115"/>
      <c r="J99" s="115"/>
      <c r="K99" s="115"/>
      <c r="L99" s="115"/>
      <c r="M99" s="156">
        <f t="shared" si="29"/>
        <v>0</v>
      </c>
      <c r="N99" s="156"/>
      <c r="O99" s="156"/>
      <c r="P99" s="119">
        <f t="shared" si="30"/>
        <v>0</v>
      </c>
      <c r="Q99" s="115" t="e">
        <f t="shared" si="33"/>
        <v>#DIV/0!</v>
      </c>
      <c r="R99" s="160">
        <f t="shared" si="34"/>
        <v>0</v>
      </c>
      <c r="S99" s="160">
        <f t="shared" si="32"/>
        <v>0</v>
      </c>
      <c r="T99" s="120"/>
      <c r="U99" s="119"/>
      <c r="V99" s="115"/>
      <c r="W99" s="120"/>
      <c r="X99" s="120"/>
      <c r="Y99" s="158"/>
      <c r="Z99" s="160"/>
      <c r="AA99" s="160"/>
      <c r="AB99" s="160"/>
      <c r="AC99" s="160"/>
      <c r="AD99" s="119"/>
      <c r="AE99" s="115"/>
      <c r="AF99" s="115"/>
      <c r="AG99" s="115"/>
      <c r="AH99" s="115"/>
      <c r="AI99" s="115"/>
      <c r="AJ99" s="115"/>
      <c r="AK99" s="115"/>
      <c r="AL99" s="115"/>
    </row>
    <row r="100" spans="1:38">
      <c r="A100" s="13">
        <f t="shared" si="35"/>
        <v>93</v>
      </c>
      <c r="B100" s="123"/>
      <c r="C100" s="116"/>
      <c r="D100" s="116"/>
      <c r="E100" s="115"/>
      <c r="F100" s="116"/>
      <c r="G100" s="115"/>
      <c r="H100" s="117"/>
      <c r="I100" s="115"/>
      <c r="J100" s="115"/>
      <c r="K100" s="115"/>
      <c r="L100" s="115"/>
      <c r="M100" s="156">
        <f t="shared" si="29"/>
        <v>0</v>
      </c>
      <c r="N100" s="156"/>
      <c r="O100" s="156"/>
      <c r="P100" s="119">
        <f t="shared" si="30"/>
        <v>0</v>
      </c>
      <c r="Q100" s="115" t="e">
        <f t="shared" si="33"/>
        <v>#DIV/0!</v>
      </c>
      <c r="R100" s="160">
        <f t="shared" si="34"/>
        <v>0</v>
      </c>
      <c r="S100" s="160">
        <f t="shared" si="32"/>
        <v>0</v>
      </c>
      <c r="T100" s="120"/>
      <c r="U100" s="119"/>
      <c r="V100" s="115"/>
      <c r="W100" s="120"/>
      <c r="X100" s="120"/>
      <c r="Y100" s="158"/>
      <c r="Z100" s="160"/>
      <c r="AA100" s="160"/>
      <c r="AB100" s="160"/>
      <c r="AC100" s="160"/>
      <c r="AD100" s="119"/>
      <c r="AE100" s="115"/>
      <c r="AF100" s="115"/>
      <c r="AG100" s="115"/>
      <c r="AH100" s="115"/>
      <c r="AI100" s="115"/>
      <c r="AJ100" s="115"/>
      <c r="AK100" s="115"/>
      <c r="AL100" s="115"/>
    </row>
    <row r="101" spans="1:38">
      <c r="A101" s="13">
        <f t="shared" si="35"/>
        <v>94</v>
      </c>
      <c r="B101" s="123"/>
      <c r="C101" s="116"/>
      <c r="D101" s="116"/>
      <c r="E101" s="115"/>
      <c r="F101" s="116"/>
      <c r="G101" s="115"/>
      <c r="H101" s="117"/>
      <c r="I101" s="115"/>
      <c r="J101" s="115"/>
      <c r="K101" s="115"/>
      <c r="L101" s="115"/>
      <c r="M101" s="156">
        <f t="shared" si="29"/>
        <v>0</v>
      </c>
      <c r="N101" s="156"/>
      <c r="O101" s="156"/>
      <c r="P101" s="119">
        <f t="shared" si="30"/>
        <v>0</v>
      </c>
      <c r="Q101" s="115" t="e">
        <f t="shared" si="33"/>
        <v>#DIV/0!</v>
      </c>
      <c r="R101" s="160">
        <f t="shared" si="34"/>
        <v>0</v>
      </c>
      <c r="S101" s="160">
        <f t="shared" si="32"/>
        <v>0</v>
      </c>
      <c r="T101" s="120"/>
      <c r="U101" s="119"/>
      <c r="V101" s="115"/>
      <c r="W101" s="120"/>
      <c r="X101" s="120"/>
      <c r="Y101" s="158"/>
      <c r="Z101" s="160"/>
      <c r="AA101" s="160"/>
      <c r="AB101" s="160"/>
      <c r="AC101" s="160"/>
      <c r="AD101" s="119"/>
      <c r="AE101" s="115"/>
      <c r="AF101" s="115"/>
      <c r="AG101" s="115"/>
      <c r="AH101" s="115"/>
      <c r="AI101" s="115"/>
      <c r="AJ101" s="115"/>
      <c r="AK101" s="115"/>
      <c r="AL101" s="115"/>
    </row>
    <row r="102" spans="1:38">
      <c r="A102" s="13">
        <f t="shared" si="35"/>
        <v>95</v>
      </c>
      <c r="B102" s="123"/>
      <c r="C102" s="116"/>
      <c r="D102" s="116"/>
      <c r="E102" s="115"/>
      <c r="F102" s="116"/>
      <c r="G102" s="115"/>
      <c r="H102" s="117"/>
      <c r="I102" s="115"/>
      <c r="J102" s="115"/>
      <c r="K102" s="115"/>
      <c r="L102" s="115"/>
      <c r="M102" s="156">
        <f t="shared" si="29"/>
        <v>0</v>
      </c>
      <c r="N102" s="156"/>
      <c r="O102" s="156"/>
      <c r="P102" s="119">
        <f t="shared" si="30"/>
        <v>0</v>
      </c>
      <c r="Q102" s="115" t="e">
        <f t="shared" si="33"/>
        <v>#DIV/0!</v>
      </c>
      <c r="R102" s="160">
        <f t="shared" si="34"/>
        <v>0</v>
      </c>
      <c r="S102" s="160">
        <f t="shared" si="32"/>
        <v>0</v>
      </c>
      <c r="T102" s="120"/>
      <c r="U102" s="119"/>
      <c r="V102" s="115"/>
      <c r="W102" s="120"/>
      <c r="X102" s="120"/>
      <c r="Y102" s="158"/>
      <c r="Z102" s="160"/>
      <c r="AA102" s="160"/>
      <c r="AB102" s="160"/>
      <c r="AC102" s="160"/>
      <c r="AD102" s="119"/>
      <c r="AE102" s="115"/>
      <c r="AF102" s="115"/>
      <c r="AG102" s="115"/>
      <c r="AH102" s="115"/>
      <c r="AI102" s="115"/>
      <c r="AJ102" s="115"/>
      <c r="AK102" s="115"/>
      <c r="AL102" s="115"/>
    </row>
    <row r="103" spans="1:38">
      <c r="A103" s="13">
        <f t="shared" si="35"/>
        <v>96</v>
      </c>
      <c r="B103" s="123"/>
      <c r="C103" s="116"/>
      <c r="D103" s="116"/>
      <c r="E103" s="115"/>
      <c r="F103" s="116"/>
      <c r="G103" s="115"/>
      <c r="H103" s="117"/>
      <c r="I103" s="115"/>
      <c r="J103" s="115"/>
      <c r="K103" s="115"/>
      <c r="L103" s="115"/>
      <c r="M103" s="156">
        <f t="shared" si="29"/>
        <v>0</v>
      </c>
      <c r="N103" s="156"/>
      <c r="O103" s="156"/>
      <c r="P103" s="119">
        <f t="shared" si="30"/>
        <v>0</v>
      </c>
      <c r="Q103" s="115" t="e">
        <f t="shared" si="33"/>
        <v>#DIV/0!</v>
      </c>
      <c r="R103" s="160">
        <f t="shared" si="34"/>
        <v>0</v>
      </c>
      <c r="S103" s="160">
        <f t="shared" si="32"/>
        <v>0</v>
      </c>
      <c r="T103" s="120"/>
      <c r="U103" s="119"/>
      <c r="V103" s="115"/>
      <c r="W103" s="120"/>
      <c r="X103" s="120"/>
      <c r="Y103" s="158"/>
      <c r="Z103" s="160"/>
      <c r="AA103" s="160"/>
      <c r="AB103" s="160"/>
      <c r="AC103" s="160"/>
      <c r="AD103" s="119"/>
      <c r="AE103" s="115"/>
      <c r="AF103" s="115"/>
      <c r="AG103" s="115"/>
      <c r="AH103" s="115"/>
      <c r="AI103" s="115"/>
      <c r="AJ103" s="115"/>
      <c r="AK103" s="115"/>
      <c r="AL103" s="115"/>
    </row>
    <row r="104" spans="1:38">
      <c r="A104" s="13">
        <f t="shared" si="35"/>
        <v>97</v>
      </c>
      <c r="B104" s="123"/>
      <c r="C104" s="116"/>
      <c r="D104" s="116"/>
      <c r="E104" s="115"/>
      <c r="F104" s="116"/>
      <c r="G104" s="115"/>
      <c r="H104" s="117"/>
      <c r="I104" s="115"/>
      <c r="J104" s="115"/>
      <c r="K104" s="115"/>
      <c r="L104" s="115"/>
      <c r="M104" s="156">
        <f t="shared" si="29"/>
        <v>0</v>
      </c>
      <c r="N104" s="156"/>
      <c r="O104" s="156"/>
      <c r="P104" s="119">
        <f t="shared" si="30"/>
        <v>0</v>
      </c>
      <c r="Q104" s="115" t="e">
        <f t="shared" si="33"/>
        <v>#DIV/0!</v>
      </c>
      <c r="R104" s="160">
        <f t="shared" si="34"/>
        <v>0</v>
      </c>
      <c r="S104" s="160">
        <f t="shared" si="32"/>
        <v>0</v>
      </c>
      <c r="T104" s="120"/>
      <c r="U104" s="119"/>
      <c r="V104" s="115"/>
      <c r="W104" s="120"/>
      <c r="X104" s="120"/>
      <c r="Y104" s="158"/>
      <c r="Z104" s="160"/>
      <c r="AA104" s="160"/>
      <c r="AB104" s="160"/>
      <c r="AC104" s="160"/>
      <c r="AD104" s="119"/>
      <c r="AE104" s="115"/>
      <c r="AF104" s="115"/>
      <c r="AG104" s="115"/>
      <c r="AH104" s="115"/>
      <c r="AI104" s="115"/>
      <c r="AJ104" s="115"/>
      <c r="AK104" s="115"/>
      <c r="AL104" s="115"/>
    </row>
    <row r="105" spans="1:38">
      <c r="A105" s="13">
        <f t="shared" si="35"/>
        <v>98</v>
      </c>
      <c r="B105" s="123"/>
      <c r="C105" s="116"/>
      <c r="D105" s="116"/>
      <c r="E105" s="115"/>
      <c r="F105" s="116"/>
      <c r="G105" s="115"/>
      <c r="H105" s="117"/>
      <c r="I105" s="115"/>
      <c r="J105" s="115"/>
      <c r="K105" s="115"/>
      <c r="L105" s="115"/>
      <c r="M105" s="156">
        <f t="shared" si="29"/>
        <v>0</v>
      </c>
      <c r="N105" s="156"/>
      <c r="O105" s="156"/>
      <c r="P105" s="119">
        <f t="shared" si="30"/>
        <v>0</v>
      </c>
      <c r="Q105" s="115" t="e">
        <f t="shared" si="33"/>
        <v>#DIV/0!</v>
      </c>
      <c r="R105" s="160">
        <f t="shared" si="34"/>
        <v>0</v>
      </c>
      <c r="S105" s="160">
        <f t="shared" si="32"/>
        <v>0</v>
      </c>
      <c r="T105" s="120"/>
      <c r="U105" s="119"/>
      <c r="V105" s="115"/>
      <c r="W105" s="120"/>
      <c r="X105" s="120"/>
      <c r="Y105" s="158"/>
      <c r="Z105" s="160"/>
      <c r="AA105" s="160"/>
      <c r="AB105" s="160"/>
      <c r="AC105" s="160"/>
      <c r="AD105" s="119"/>
      <c r="AE105" s="115"/>
      <c r="AF105" s="115"/>
      <c r="AG105" s="115"/>
      <c r="AH105" s="115"/>
      <c r="AI105" s="115"/>
      <c r="AJ105" s="115"/>
      <c r="AK105" s="115"/>
      <c r="AL105" s="115"/>
    </row>
    <row r="106" spans="1:38">
      <c r="A106" s="13">
        <f t="shared" si="35"/>
        <v>99</v>
      </c>
      <c r="B106" s="123"/>
      <c r="C106" s="116"/>
      <c r="D106" s="116"/>
      <c r="E106" s="115"/>
      <c r="F106" s="116"/>
      <c r="G106" s="115"/>
      <c r="H106" s="117"/>
      <c r="I106" s="115"/>
      <c r="J106" s="115"/>
      <c r="K106" s="115"/>
      <c r="L106" s="115"/>
      <c r="M106" s="156">
        <f t="shared" si="29"/>
        <v>0</v>
      </c>
      <c r="N106" s="156"/>
      <c r="O106" s="156"/>
      <c r="P106" s="119">
        <f t="shared" si="30"/>
        <v>0</v>
      </c>
      <c r="Q106" s="115" t="e">
        <f t="shared" si="33"/>
        <v>#DIV/0!</v>
      </c>
      <c r="R106" s="160">
        <f t="shared" si="34"/>
        <v>0</v>
      </c>
      <c r="S106" s="160">
        <f t="shared" si="32"/>
        <v>0</v>
      </c>
      <c r="T106" s="120"/>
      <c r="U106" s="119"/>
      <c r="V106" s="115"/>
      <c r="W106" s="120"/>
      <c r="X106" s="120"/>
      <c r="Y106" s="158"/>
      <c r="Z106" s="160"/>
      <c r="AA106" s="160"/>
      <c r="AB106" s="160"/>
      <c r="AC106" s="160"/>
      <c r="AD106" s="119"/>
      <c r="AE106" s="115"/>
      <c r="AF106" s="115"/>
      <c r="AG106" s="115"/>
      <c r="AH106" s="115"/>
      <c r="AI106" s="115"/>
      <c r="AJ106" s="115"/>
      <c r="AK106" s="115"/>
      <c r="AL106" s="115"/>
    </row>
    <row r="107" spans="1:38">
      <c r="A107" s="13">
        <f t="shared" si="35"/>
        <v>100</v>
      </c>
      <c r="B107" s="123"/>
      <c r="C107" s="116"/>
      <c r="D107" s="116"/>
      <c r="E107" s="115"/>
      <c r="F107" s="116"/>
      <c r="G107" s="115"/>
      <c r="H107" s="117"/>
      <c r="I107" s="115"/>
      <c r="J107" s="115"/>
      <c r="K107" s="115"/>
      <c r="L107" s="115"/>
      <c r="M107" s="156">
        <f t="shared" si="29"/>
        <v>0</v>
      </c>
      <c r="N107" s="156"/>
      <c r="O107" s="156"/>
      <c r="P107" s="119">
        <f t="shared" si="30"/>
        <v>0</v>
      </c>
      <c r="Q107" s="115" t="e">
        <f t="shared" si="33"/>
        <v>#DIV/0!</v>
      </c>
      <c r="R107" s="160">
        <f t="shared" si="34"/>
        <v>0</v>
      </c>
      <c r="S107" s="160">
        <f t="shared" si="32"/>
        <v>0</v>
      </c>
      <c r="T107" s="120"/>
      <c r="U107" s="119"/>
      <c r="V107" s="115"/>
      <c r="W107" s="120"/>
      <c r="X107" s="120"/>
      <c r="Y107" s="158"/>
      <c r="Z107" s="160"/>
      <c r="AA107" s="160"/>
      <c r="AB107" s="160"/>
      <c r="AC107" s="160"/>
      <c r="AD107" s="119"/>
      <c r="AE107" s="115"/>
      <c r="AF107" s="115"/>
      <c r="AG107" s="115"/>
      <c r="AH107" s="115"/>
      <c r="AI107" s="115"/>
      <c r="AJ107" s="115"/>
      <c r="AK107" s="115"/>
      <c r="AL107" s="115"/>
    </row>
    <row r="108" spans="1:38">
      <c r="A108" s="13">
        <f t="shared" si="35"/>
        <v>101</v>
      </c>
      <c r="B108" s="123"/>
      <c r="C108" s="116"/>
      <c r="D108" s="116"/>
      <c r="E108" s="115"/>
      <c r="F108" s="116"/>
      <c r="G108" s="115"/>
      <c r="H108" s="117"/>
      <c r="I108" s="115"/>
      <c r="J108" s="115"/>
      <c r="K108" s="115"/>
      <c r="L108" s="115"/>
      <c r="M108" s="156">
        <f t="shared" si="29"/>
        <v>0</v>
      </c>
      <c r="N108" s="156"/>
      <c r="O108" s="156"/>
      <c r="P108" s="119">
        <f t="shared" si="30"/>
        <v>0</v>
      </c>
      <c r="Q108" s="115" t="e">
        <f t="shared" si="33"/>
        <v>#DIV/0!</v>
      </c>
      <c r="R108" s="160">
        <f t="shared" si="34"/>
        <v>0</v>
      </c>
      <c r="S108" s="160">
        <f t="shared" si="32"/>
        <v>0</v>
      </c>
      <c r="T108" s="120"/>
      <c r="U108" s="119"/>
      <c r="V108" s="115"/>
      <c r="W108" s="120"/>
      <c r="X108" s="120"/>
      <c r="Y108" s="158"/>
      <c r="Z108" s="160"/>
      <c r="AA108" s="160"/>
      <c r="AB108" s="160"/>
      <c r="AC108" s="160"/>
      <c r="AD108" s="119"/>
      <c r="AE108" s="115"/>
      <c r="AF108" s="115"/>
      <c r="AG108" s="115"/>
      <c r="AH108" s="115"/>
      <c r="AI108" s="115"/>
      <c r="AJ108" s="115"/>
      <c r="AK108" s="115"/>
      <c r="AL108" s="115"/>
    </row>
    <row r="109" spans="1:38">
      <c r="A109" s="13">
        <f t="shared" si="35"/>
        <v>102</v>
      </c>
      <c r="B109" s="123"/>
      <c r="C109" s="116"/>
      <c r="D109" s="116"/>
      <c r="E109" s="115"/>
      <c r="F109" s="116"/>
      <c r="G109" s="115"/>
      <c r="H109" s="117"/>
      <c r="I109" s="115"/>
      <c r="J109" s="115"/>
      <c r="K109" s="115"/>
      <c r="L109" s="115"/>
      <c r="M109" s="156">
        <f t="shared" si="29"/>
        <v>0</v>
      </c>
      <c r="N109" s="156"/>
      <c r="O109" s="156"/>
      <c r="P109" s="119">
        <f t="shared" si="30"/>
        <v>0</v>
      </c>
      <c r="Q109" s="115" t="e">
        <f t="shared" si="33"/>
        <v>#DIV/0!</v>
      </c>
      <c r="R109" s="160">
        <f t="shared" si="34"/>
        <v>0</v>
      </c>
      <c r="S109" s="160">
        <f t="shared" si="32"/>
        <v>0</v>
      </c>
      <c r="T109" s="120"/>
      <c r="U109" s="119"/>
      <c r="V109" s="115"/>
      <c r="W109" s="120"/>
      <c r="X109" s="120"/>
      <c r="Y109" s="158"/>
      <c r="Z109" s="160"/>
      <c r="AA109" s="160"/>
      <c r="AB109" s="160"/>
      <c r="AC109" s="160"/>
      <c r="AD109" s="119"/>
      <c r="AE109" s="115"/>
      <c r="AF109" s="115"/>
      <c r="AG109" s="115"/>
      <c r="AH109" s="115"/>
      <c r="AI109" s="115"/>
      <c r="AJ109" s="115"/>
      <c r="AK109" s="115"/>
      <c r="AL109" s="115"/>
    </row>
    <row r="110" spans="1:38">
      <c r="A110" s="13">
        <f t="shared" si="35"/>
        <v>103</v>
      </c>
      <c r="B110" s="123"/>
      <c r="C110" s="116"/>
      <c r="D110" s="116"/>
      <c r="E110" s="115"/>
      <c r="F110" s="116"/>
      <c r="G110" s="115"/>
      <c r="H110" s="117"/>
      <c r="I110" s="115"/>
      <c r="J110" s="115"/>
      <c r="K110" s="115"/>
      <c r="L110" s="115"/>
      <c r="M110" s="156">
        <f t="shared" si="29"/>
        <v>0</v>
      </c>
      <c r="N110" s="156"/>
      <c r="O110" s="156"/>
      <c r="P110" s="119">
        <f t="shared" si="30"/>
        <v>0</v>
      </c>
      <c r="Q110" s="115" t="e">
        <f t="shared" si="33"/>
        <v>#DIV/0!</v>
      </c>
      <c r="R110" s="160">
        <f t="shared" si="34"/>
        <v>0</v>
      </c>
      <c r="S110" s="160">
        <f t="shared" si="32"/>
        <v>0</v>
      </c>
      <c r="T110" s="120"/>
      <c r="U110" s="119"/>
      <c r="V110" s="115"/>
      <c r="W110" s="120"/>
      <c r="X110" s="120"/>
      <c r="Y110" s="158"/>
      <c r="Z110" s="160"/>
      <c r="AA110" s="160"/>
      <c r="AB110" s="160"/>
      <c r="AC110" s="160"/>
      <c r="AD110" s="119"/>
      <c r="AE110" s="115"/>
      <c r="AF110" s="115"/>
      <c r="AG110" s="115"/>
      <c r="AH110" s="115"/>
      <c r="AI110" s="115"/>
      <c r="AJ110" s="115"/>
      <c r="AK110" s="115"/>
      <c r="AL110" s="115"/>
    </row>
    <row r="111" spans="1:38">
      <c r="A111" s="13">
        <f t="shared" si="35"/>
        <v>104</v>
      </c>
      <c r="B111" s="123"/>
      <c r="C111" s="116"/>
      <c r="D111" s="116"/>
      <c r="E111" s="115"/>
      <c r="F111" s="116"/>
      <c r="G111" s="115"/>
      <c r="H111" s="117"/>
      <c r="I111" s="115"/>
      <c r="J111" s="115"/>
      <c r="K111" s="115"/>
      <c r="L111" s="115"/>
      <c r="M111" s="156">
        <f t="shared" si="29"/>
        <v>0</v>
      </c>
      <c r="N111" s="156"/>
      <c r="O111" s="156"/>
      <c r="P111" s="119">
        <f t="shared" si="30"/>
        <v>0</v>
      </c>
      <c r="Q111" s="115" t="e">
        <f t="shared" si="33"/>
        <v>#DIV/0!</v>
      </c>
      <c r="R111" s="160">
        <f t="shared" si="34"/>
        <v>0</v>
      </c>
      <c r="S111" s="160">
        <f t="shared" si="32"/>
        <v>0</v>
      </c>
      <c r="T111" s="120"/>
      <c r="U111" s="119"/>
      <c r="V111" s="115"/>
      <c r="W111" s="120"/>
      <c r="X111" s="120"/>
      <c r="Y111" s="158"/>
      <c r="Z111" s="160"/>
      <c r="AA111" s="160"/>
      <c r="AB111" s="160"/>
      <c r="AC111" s="160"/>
      <c r="AD111" s="119"/>
      <c r="AE111" s="115"/>
      <c r="AF111" s="115"/>
      <c r="AG111" s="115"/>
      <c r="AH111" s="115"/>
      <c r="AI111" s="115"/>
      <c r="AJ111" s="115"/>
      <c r="AK111" s="115"/>
      <c r="AL111" s="115"/>
    </row>
    <row r="112" spans="1:38">
      <c r="A112" s="13">
        <f t="shared" si="35"/>
        <v>105</v>
      </c>
      <c r="B112" s="123"/>
      <c r="C112" s="116"/>
      <c r="D112" s="116"/>
      <c r="E112" s="115"/>
      <c r="F112" s="116"/>
      <c r="G112" s="115"/>
      <c r="H112" s="117"/>
      <c r="I112" s="115"/>
      <c r="J112" s="115"/>
      <c r="K112" s="115"/>
      <c r="L112" s="115"/>
      <c r="M112" s="156">
        <f t="shared" si="29"/>
        <v>0</v>
      </c>
      <c r="N112" s="156"/>
      <c r="O112" s="156"/>
      <c r="P112" s="119">
        <f t="shared" si="30"/>
        <v>0</v>
      </c>
      <c r="Q112" s="115" t="e">
        <f t="shared" si="33"/>
        <v>#DIV/0!</v>
      </c>
      <c r="R112" s="160">
        <f t="shared" si="34"/>
        <v>0</v>
      </c>
      <c r="S112" s="160">
        <f t="shared" si="32"/>
        <v>0</v>
      </c>
      <c r="T112" s="120"/>
      <c r="U112" s="119"/>
      <c r="V112" s="115"/>
      <c r="W112" s="120"/>
      <c r="X112" s="120"/>
      <c r="Y112" s="158"/>
      <c r="Z112" s="160"/>
      <c r="AA112" s="160"/>
      <c r="AB112" s="160"/>
      <c r="AC112" s="160"/>
      <c r="AD112" s="119"/>
      <c r="AE112" s="115"/>
      <c r="AF112" s="115"/>
      <c r="AG112" s="115"/>
      <c r="AH112" s="115"/>
      <c r="AI112" s="115"/>
      <c r="AJ112" s="115"/>
      <c r="AK112" s="115"/>
      <c r="AL112" s="115"/>
    </row>
    <row r="113" spans="1:38">
      <c r="A113" s="13">
        <f t="shared" si="35"/>
        <v>106</v>
      </c>
      <c r="B113" s="123"/>
      <c r="C113" s="116"/>
      <c r="D113" s="116"/>
      <c r="E113" s="115"/>
      <c r="F113" s="116"/>
      <c r="G113" s="115"/>
      <c r="H113" s="117"/>
      <c r="I113" s="115"/>
      <c r="J113" s="115"/>
      <c r="K113" s="115"/>
      <c r="L113" s="115"/>
      <c r="M113" s="156">
        <f t="shared" si="29"/>
        <v>0</v>
      </c>
      <c r="N113" s="156"/>
      <c r="O113" s="156"/>
      <c r="P113" s="119">
        <f t="shared" si="30"/>
        <v>0</v>
      </c>
      <c r="Q113" s="115" t="e">
        <f t="shared" si="33"/>
        <v>#DIV/0!</v>
      </c>
      <c r="R113" s="160">
        <f t="shared" si="34"/>
        <v>0</v>
      </c>
      <c r="S113" s="160">
        <f t="shared" si="32"/>
        <v>0</v>
      </c>
      <c r="T113" s="120"/>
      <c r="U113" s="119"/>
      <c r="V113" s="115"/>
      <c r="W113" s="120"/>
      <c r="X113" s="120"/>
      <c r="Y113" s="158"/>
      <c r="Z113" s="160"/>
      <c r="AA113" s="160"/>
      <c r="AB113" s="160"/>
      <c r="AC113" s="160"/>
      <c r="AD113" s="119"/>
      <c r="AE113" s="115"/>
      <c r="AF113" s="115"/>
      <c r="AG113" s="115"/>
      <c r="AH113" s="115"/>
      <c r="AI113" s="115"/>
      <c r="AJ113" s="115"/>
      <c r="AK113" s="115"/>
      <c r="AL113" s="115"/>
    </row>
    <row r="114" spans="1:38">
      <c r="A114" s="13">
        <f t="shared" si="35"/>
        <v>107</v>
      </c>
      <c r="B114" s="123"/>
      <c r="C114" s="116"/>
      <c r="D114" s="116"/>
      <c r="E114" s="115"/>
      <c r="F114" s="116"/>
      <c r="G114" s="115"/>
      <c r="H114" s="117"/>
      <c r="I114" s="115"/>
      <c r="J114" s="115"/>
      <c r="K114" s="115"/>
      <c r="L114" s="115"/>
      <c r="M114" s="156">
        <f t="shared" si="29"/>
        <v>0</v>
      </c>
      <c r="N114" s="156"/>
      <c r="O114" s="156"/>
      <c r="P114" s="119">
        <f t="shared" si="30"/>
        <v>0</v>
      </c>
      <c r="Q114" s="115" t="e">
        <f t="shared" si="33"/>
        <v>#DIV/0!</v>
      </c>
      <c r="R114" s="160">
        <f t="shared" si="34"/>
        <v>0</v>
      </c>
      <c r="S114" s="160">
        <f t="shared" si="32"/>
        <v>0</v>
      </c>
      <c r="T114" s="120"/>
      <c r="U114" s="119"/>
      <c r="V114" s="115"/>
      <c r="W114" s="120"/>
      <c r="X114" s="120"/>
      <c r="Y114" s="158"/>
      <c r="Z114" s="160"/>
      <c r="AA114" s="160"/>
      <c r="AB114" s="160"/>
      <c r="AC114" s="160"/>
      <c r="AD114" s="119"/>
      <c r="AE114" s="115"/>
      <c r="AF114" s="115"/>
      <c r="AG114" s="115"/>
      <c r="AH114" s="115"/>
      <c r="AI114" s="115"/>
      <c r="AJ114" s="115"/>
      <c r="AK114" s="115"/>
      <c r="AL114" s="115"/>
    </row>
    <row r="115" spans="1:38">
      <c r="A115" s="13">
        <f t="shared" si="35"/>
        <v>108</v>
      </c>
      <c r="B115" s="123"/>
      <c r="C115" s="116"/>
      <c r="D115" s="116"/>
      <c r="E115" s="115"/>
      <c r="F115" s="116"/>
      <c r="G115" s="115"/>
      <c r="H115" s="117"/>
      <c r="I115" s="115"/>
      <c r="J115" s="115"/>
      <c r="K115" s="115"/>
      <c r="L115" s="115"/>
      <c r="M115" s="156">
        <f t="shared" si="29"/>
        <v>0</v>
      </c>
      <c r="N115" s="156"/>
      <c r="O115" s="156"/>
      <c r="P115" s="119">
        <f t="shared" si="30"/>
        <v>0</v>
      </c>
      <c r="Q115" s="115" t="e">
        <f t="shared" si="33"/>
        <v>#DIV/0!</v>
      </c>
      <c r="R115" s="160">
        <f t="shared" si="34"/>
        <v>0</v>
      </c>
      <c r="S115" s="160">
        <f t="shared" si="32"/>
        <v>0</v>
      </c>
      <c r="T115" s="120"/>
      <c r="U115" s="119"/>
      <c r="V115" s="115"/>
      <c r="W115" s="120"/>
      <c r="X115" s="120"/>
      <c r="Y115" s="158"/>
      <c r="Z115" s="160"/>
      <c r="AA115" s="160"/>
      <c r="AB115" s="160"/>
      <c r="AC115" s="160"/>
      <c r="AD115" s="119"/>
      <c r="AE115" s="115"/>
      <c r="AF115" s="115"/>
      <c r="AG115" s="115"/>
      <c r="AH115" s="115"/>
      <c r="AI115" s="115"/>
      <c r="AJ115" s="115"/>
      <c r="AK115" s="115"/>
      <c r="AL115" s="115"/>
    </row>
    <row r="116" spans="1:38">
      <c r="A116" s="13">
        <f t="shared" si="35"/>
        <v>109</v>
      </c>
      <c r="B116" s="123"/>
      <c r="C116" s="116"/>
      <c r="D116" s="116"/>
      <c r="E116" s="115"/>
      <c r="F116" s="116"/>
      <c r="G116" s="115"/>
      <c r="H116" s="117"/>
      <c r="I116" s="115"/>
      <c r="J116" s="115"/>
      <c r="K116" s="115"/>
      <c r="L116" s="115"/>
      <c r="M116" s="156">
        <f t="shared" si="29"/>
        <v>0</v>
      </c>
      <c r="N116" s="156"/>
      <c r="O116" s="156"/>
      <c r="P116" s="119">
        <f t="shared" si="30"/>
        <v>0</v>
      </c>
      <c r="Q116" s="115" t="e">
        <f t="shared" si="33"/>
        <v>#DIV/0!</v>
      </c>
      <c r="R116" s="160">
        <f t="shared" si="34"/>
        <v>0</v>
      </c>
      <c r="S116" s="160">
        <f t="shared" si="32"/>
        <v>0</v>
      </c>
      <c r="T116" s="120"/>
      <c r="U116" s="119"/>
      <c r="V116" s="115"/>
      <c r="W116" s="120"/>
      <c r="X116" s="120"/>
      <c r="Y116" s="158"/>
      <c r="Z116" s="160"/>
      <c r="AA116" s="160"/>
      <c r="AB116" s="160"/>
      <c r="AC116" s="160"/>
      <c r="AD116" s="119"/>
      <c r="AE116" s="115"/>
      <c r="AF116" s="115"/>
      <c r="AG116" s="115"/>
      <c r="AH116" s="115"/>
      <c r="AI116" s="115"/>
      <c r="AJ116" s="115"/>
      <c r="AK116" s="115"/>
      <c r="AL116" s="115"/>
    </row>
    <row r="117" spans="1:38">
      <c r="A117" s="13">
        <f t="shared" si="35"/>
        <v>110</v>
      </c>
      <c r="B117" s="123"/>
      <c r="C117" s="116"/>
      <c r="D117" s="116"/>
      <c r="E117" s="115"/>
      <c r="F117" s="116"/>
      <c r="G117" s="115"/>
      <c r="H117" s="117"/>
      <c r="I117" s="115"/>
      <c r="J117" s="115"/>
      <c r="K117" s="115"/>
      <c r="L117" s="115"/>
      <c r="M117" s="156">
        <f t="shared" ref="M117:M180" si="36">J117*(1+$M$6*IF(C117="B",-1,1))</f>
        <v>0</v>
      </c>
      <c r="N117" s="156"/>
      <c r="O117" s="156"/>
      <c r="P117" s="119">
        <f t="shared" ref="P117:P180" si="37">IF(AND(K117&lt;&gt;0,I117&lt;&gt;0),(IF(C117="B",1,-1))*(K117-J117)*I117-AL117*2,0)</f>
        <v>0</v>
      </c>
      <c r="Q117" s="115" t="e">
        <f t="shared" si="33"/>
        <v>#DIV/0!</v>
      </c>
      <c r="R117" s="160">
        <f t="shared" si="34"/>
        <v>0</v>
      </c>
      <c r="S117" s="160">
        <f t="shared" ref="S117:S180" si="38">(Y117-J117)*I117*IF(C117="B",1,-1)*IF(K117=0,1,0)</f>
        <v>0</v>
      </c>
      <c r="T117" s="120"/>
      <c r="U117" s="119"/>
      <c r="V117" s="115"/>
      <c r="W117" s="120"/>
      <c r="X117" s="120"/>
      <c r="Y117" s="158"/>
      <c r="Z117" s="160"/>
      <c r="AA117" s="160"/>
      <c r="AB117" s="160"/>
      <c r="AC117" s="160"/>
      <c r="AD117" s="119"/>
      <c r="AE117" s="115"/>
      <c r="AF117" s="115"/>
      <c r="AG117" s="115"/>
      <c r="AH117" s="115"/>
      <c r="AI117" s="115"/>
      <c r="AJ117" s="115"/>
      <c r="AK117" s="115"/>
      <c r="AL117" s="115"/>
    </row>
    <row r="118" spans="1:38">
      <c r="A118" s="13">
        <f t="shared" si="35"/>
        <v>111</v>
      </c>
      <c r="B118" s="123"/>
      <c r="C118" s="116"/>
      <c r="D118" s="116"/>
      <c r="E118" s="115"/>
      <c r="F118" s="116"/>
      <c r="G118" s="115"/>
      <c r="H118" s="117"/>
      <c r="I118" s="115"/>
      <c r="J118" s="115"/>
      <c r="K118" s="115"/>
      <c r="L118" s="115"/>
      <c r="M118" s="156">
        <f t="shared" si="36"/>
        <v>0</v>
      </c>
      <c r="N118" s="156"/>
      <c r="O118" s="156"/>
      <c r="P118" s="119">
        <f t="shared" si="37"/>
        <v>0</v>
      </c>
      <c r="Q118" s="115" t="e">
        <f t="shared" si="33"/>
        <v>#DIV/0!</v>
      </c>
      <c r="R118" s="160">
        <f t="shared" si="34"/>
        <v>0</v>
      </c>
      <c r="S118" s="160">
        <f t="shared" si="38"/>
        <v>0</v>
      </c>
      <c r="T118" s="120"/>
      <c r="U118" s="119"/>
      <c r="V118" s="115"/>
      <c r="W118" s="120"/>
      <c r="X118" s="120"/>
      <c r="Y118" s="158"/>
      <c r="Z118" s="160"/>
      <c r="AA118" s="160"/>
      <c r="AB118" s="160"/>
      <c r="AC118" s="160"/>
      <c r="AD118" s="119"/>
      <c r="AE118" s="115"/>
      <c r="AF118" s="115"/>
      <c r="AG118" s="115"/>
      <c r="AH118" s="115"/>
      <c r="AI118" s="115"/>
      <c r="AJ118" s="115"/>
      <c r="AK118" s="115"/>
      <c r="AL118" s="115"/>
    </row>
    <row r="119" spans="1:38">
      <c r="A119" s="13">
        <f t="shared" si="35"/>
        <v>112</v>
      </c>
      <c r="B119" s="123"/>
      <c r="C119" s="116"/>
      <c r="D119" s="116"/>
      <c r="E119" s="115"/>
      <c r="F119" s="116"/>
      <c r="G119" s="115"/>
      <c r="H119" s="117"/>
      <c r="I119" s="115"/>
      <c r="J119" s="115"/>
      <c r="K119" s="115"/>
      <c r="L119" s="115"/>
      <c r="M119" s="156">
        <f t="shared" si="36"/>
        <v>0</v>
      </c>
      <c r="N119" s="156"/>
      <c r="O119" s="156"/>
      <c r="P119" s="119">
        <f t="shared" si="37"/>
        <v>0</v>
      </c>
      <c r="Q119" s="115" t="e">
        <f t="shared" si="33"/>
        <v>#DIV/0!</v>
      </c>
      <c r="R119" s="160">
        <f t="shared" si="34"/>
        <v>0</v>
      </c>
      <c r="S119" s="160">
        <f t="shared" si="38"/>
        <v>0</v>
      </c>
      <c r="T119" s="120"/>
      <c r="U119" s="119"/>
      <c r="V119" s="115"/>
      <c r="W119" s="120"/>
      <c r="X119" s="120"/>
      <c r="Y119" s="158"/>
      <c r="Z119" s="160"/>
      <c r="AA119" s="160"/>
      <c r="AB119" s="160"/>
      <c r="AC119" s="160"/>
      <c r="AD119" s="119"/>
      <c r="AE119" s="115"/>
      <c r="AF119" s="115"/>
      <c r="AG119" s="115"/>
      <c r="AH119" s="115"/>
      <c r="AI119" s="115"/>
      <c r="AJ119" s="115"/>
      <c r="AK119" s="115"/>
      <c r="AL119" s="115"/>
    </row>
    <row r="120" spans="1:38">
      <c r="A120" s="13">
        <f t="shared" si="35"/>
        <v>113</v>
      </c>
      <c r="B120" s="123"/>
      <c r="C120" s="116"/>
      <c r="D120" s="116"/>
      <c r="E120" s="115"/>
      <c r="F120" s="116"/>
      <c r="G120" s="115"/>
      <c r="H120" s="117"/>
      <c r="I120" s="115"/>
      <c r="J120" s="115"/>
      <c r="K120" s="115"/>
      <c r="L120" s="115"/>
      <c r="M120" s="156">
        <f t="shared" si="36"/>
        <v>0</v>
      </c>
      <c r="N120" s="156"/>
      <c r="O120" s="156"/>
      <c r="P120" s="119">
        <f t="shared" si="37"/>
        <v>0</v>
      </c>
      <c r="Q120" s="115" t="e">
        <f t="shared" si="33"/>
        <v>#DIV/0!</v>
      </c>
      <c r="R120" s="160">
        <f t="shared" si="34"/>
        <v>0</v>
      </c>
      <c r="S120" s="160">
        <f t="shared" si="38"/>
        <v>0</v>
      </c>
      <c r="T120" s="120"/>
      <c r="U120" s="119"/>
      <c r="V120" s="115"/>
      <c r="W120" s="120"/>
      <c r="X120" s="120"/>
      <c r="Y120" s="158"/>
      <c r="Z120" s="160"/>
      <c r="AA120" s="160"/>
      <c r="AB120" s="160"/>
      <c r="AC120" s="160"/>
      <c r="AD120" s="119"/>
      <c r="AE120" s="115"/>
      <c r="AF120" s="115"/>
      <c r="AG120" s="115"/>
      <c r="AH120" s="115"/>
      <c r="AI120" s="115"/>
      <c r="AJ120" s="115"/>
      <c r="AK120" s="115"/>
      <c r="AL120" s="115"/>
    </row>
    <row r="121" spans="1:38">
      <c r="A121" s="13">
        <f t="shared" si="35"/>
        <v>114</v>
      </c>
      <c r="B121" s="123"/>
      <c r="C121" s="116"/>
      <c r="D121" s="116"/>
      <c r="E121" s="115"/>
      <c r="F121" s="116"/>
      <c r="G121" s="115"/>
      <c r="H121" s="117"/>
      <c r="I121" s="115"/>
      <c r="J121" s="115"/>
      <c r="K121" s="115"/>
      <c r="L121" s="115"/>
      <c r="M121" s="156">
        <f t="shared" si="36"/>
        <v>0</v>
      </c>
      <c r="N121" s="156"/>
      <c r="O121" s="156"/>
      <c r="P121" s="119">
        <f t="shared" si="37"/>
        <v>0</v>
      </c>
      <c r="Q121" s="115" t="e">
        <f t="shared" si="33"/>
        <v>#DIV/0!</v>
      </c>
      <c r="R121" s="160">
        <f t="shared" si="34"/>
        <v>0</v>
      </c>
      <c r="S121" s="160">
        <f t="shared" si="38"/>
        <v>0</v>
      </c>
      <c r="T121" s="120"/>
      <c r="U121" s="119"/>
      <c r="V121" s="115"/>
      <c r="W121" s="120"/>
      <c r="X121" s="120"/>
      <c r="Y121" s="158"/>
      <c r="Z121" s="160"/>
      <c r="AA121" s="160"/>
      <c r="AB121" s="160"/>
      <c r="AC121" s="160"/>
      <c r="AD121" s="119"/>
      <c r="AE121" s="115"/>
      <c r="AF121" s="115"/>
      <c r="AG121" s="115"/>
      <c r="AH121" s="115"/>
      <c r="AI121" s="115"/>
      <c r="AJ121" s="115"/>
      <c r="AK121" s="115"/>
      <c r="AL121" s="115"/>
    </row>
    <row r="122" spans="1:38">
      <c r="A122" s="13">
        <f t="shared" si="35"/>
        <v>115</v>
      </c>
      <c r="B122" s="123"/>
      <c r="C122" s="116"/>
      <c r="D122" s="116"/>
      <c r="E122" s="115"/>
      <c r="F122" s="116"/>
      <c r="G122" s="115"/>
      <c r="H122" s="117"/>
      <c r="I122" s="115"/>
      <c r="J122" s="115"/>
      <c r="K122" s="115"/>
      <c r="L122" s="115"/>
      <c r="M122" s="156">
        <f t="shared" si="36"/>
        <v>0</v>
      </c>
      <c r="N122" s="156"/>
      <c r="O122" s="156"/>
      <c r="P122" s="119">
        <f t="shared" si="37"/>
        <v>0</v>
      </c>
      <c r="Q122" s="115" t="e">
        <f t="shared" si="33"/>
        <v>#DIV/0!</v>
      </c>
      <c r="R122" s="160">
        <f t="shared" si="34"/>
        <v>0</v>
      </c>
      <c r="S122" s="160">
        <f t="shared" si="38"/>
        <v>0</v>
      </c>
      <c r="T122" s="120"/>
      <c r="U122" s="119"/>
      <c r="V122" s="115"/>
      <c r="W122" s="120"/>
      <c r="X122" s="120"/>
      <c r="Y122" s="158"/>
      <c r="Z122" s="160"/>
      <c r="AA122" s="160"/>
      <c r="AB122" s="160"/>
      <c r="AC122" s="160"/>
      <c r="AD122" s="119"/>
      <c r="AE122" s="115"/>
      <c r="AF122" s="115"/>
      <c r="AG122" s="115"/>
      <c r="AH122" s="115"/>
      <c r="AI122" s="115"/>
      <c r="AJ122" s="115"/>
      <c r="AK122" s="115"/>
      <c r="AL122" s="115"/>
    </row>
    <row r="123" spans="1:38">
      <c r="A123" s="13">
        <f t="shared" si="35"/>
        <v>116</v>
      </c>
      <c r="B123" s="123"/>
      <c r="C123" s="116"/>
      <c r="D123" s="116"/>
      <c r="E123" s="115"/>
      <c r="F123" s="116"/>
      <c r="G123" s="115"/>
      <c r="H123" s="117"/>
      <c r="I123" s="115"/>
      <c r="J123" s="115"/>
      <c r="K123" s="115"/>
      <c r="L123" s="115"/>
      <c r="M123" s="156">
        <f t="shared" si="36"/>
        <v>0</v>
      </c>
      <c r="N123" s="156"/>
      <c r="O123" s="156"/>
      <c r="P123" s="119">
        <f t="shared" si="37"/>
        <v>0</v>
      </c>
      <c r="Q123" s="115" t="e">
        <f t="shared" si="33"/>
        <v>#DIV/0!</v>
      </c>
      <c r="R123" s="160">
        <f t="shared" si="34"/>
        <v>0</v>
      </c>
      <c r="S123" s="160">
        <f t="shared" si="38"/>
        <v>0</v>
      </c>
      <c r="T123" s="120"/>
      <c r="U123" s="119"/>
      <c r="V123" s="115"/>
      <c r="W123" s="120"/>
      <c r="X123" s="120"/>
      <c r="Y123" s="158"/>
      <c r="Z123" s="160"/>
      <c r="AA123" s="160"/>
      <c r="AB123" s="160"/>
      <c r="AC123" s="160"/>
      <c r="AD123" s="119"/>
      <c r="AE123" s="115"/>
      <c r="AF123" s="115"/>
      <c r="AG123" s="115"/>
      <c r="AH123" s="115"/>
      <c r="AI123" s="115"/>
      <c r="AJ123" s="115"/>
      <c r="AK123" s="115"/>
      <c r="AL123" s="115"/>
    </row>
    <row r="124" spans="1:38">
      <c r="A124" s="13">
        <f t="shared" si="35"/>
        <v>117</v>
      </c>
      <c r="B124" s="123"/>
      <c r="C124" s="116"/>
      <c r="D124" s="116"/>
      <c r="E124" s="115"/>
      <c r="F124" s="116"/>
      <c r="G124" s="115"/>
      <c r="H124" s="117"/>
      <c r="I124" s="115"/>
      <c r="J124" s="115"/>
      <c r="K124" s="115"/>
      <c r="L124" s="115"/>
      <c r="M124" s="156">
        <f t="shared" si="36"/>
        <v>0</v>
      </c>
      <c r="N124" s="156"/>
      <c r="O124" s="156"/>
      <c r="P124" s="119">
        <f t="shared" si="37"/>
        <v>0</v>
      </c>
      <c r="Q124" s="115" t="e">
        <f t="shared" si="33"/>
        <v>#DIV/0!</v>
      </c>
      <c r="R124" s="160">
        <f t="shared" si="34"/>
        <v>0</v>
      </c>
      <c r="S124" s="160">
        <f t="shared" si="38"/>
        <v>0</v>
      </c>
      <c r="T124" s="120"/>
      <c r="U124" s="119"/>
      <c r="V124" s="115"/>
      <c r="W124" s="120"/>
      <c r="X124" s="120"/>
      <c r="Y124" s="158"/>
      <c r="Z124" s="160"/>
      <c r="AA124" s="160"/>
      <c r="AB124" s="160"/>
      <c r="AC124" s="160"/>
      <c r="AD124" s="119"/>
      <c r="AE124" s="115"/>
      <c r="AF124" s="115"/>
      <c r="AG124" s="115"/>
      <c r="AH124" s="115"/>
      <c r="AI124" s="115"/>
      <c r="AJ124" s="115"/>
      <c r="AK124" s="115"/>
      <c r="AL124" s="115"/>
    </row>
    <row r="125" spans="1:38">
      <c r="A125" s="13">
        <f t="shared" si="35"/>
        <v>118</v>
      </c>
      <c r="B125" s="123"/>
      <c r="C125" s="116"/>
      <c r="D125" s="116"/>
      <c r="E125" s="115"/>
      <c r="F125" s="116"/>
      <c r="G125" s="115"/>
      <c r="H125" s="117"/>
      <c r="I125" s="115"/>
      <c r="J125" s="115"/>
      <c r="K125" s="115"/>
      <c r="L125" s="115"/>
      <c r="M125" s="156">
        <f t="shared" si="36"/>
        <v>0</v>
      </c>
      <c r="N125" s="156"/>
      <c r="O125" s="156"/>
      <c r="P125" s="119">
        <f t="shared" si="37"/>
        <v>0</v>
      </c>
      <c r="Q125" s="115" t="e">
        <f t="shared" si="33"/>
        <v>#DIV/0!</v>
      </c>
      <c r="R125" s="160">
        <f t="shared" si="34"/>
        <v>0</v>
      </c>
      <c r="S125" s="160">
        <f t="shared" si="38"/>
        <v>0</v>
      </c>
      <c r="T125" s="120"/>
      <c r="U125" s="119"/>
      <c r="V125" s="115"/>
      <c r="W125" s="120"/>
      <c r="X125" s="120"/>
      <c r="Y125" s="158"/>
      <c r="Z125" s="160"/>
      <c r="AA125" s="160"/>
      <c r="AB125" s="160"/>
      <c r="AC125" s="160"/>
      <c r="AD125" s="119"/>
      <c r="AE125" s="115"/>
      <c r="AF125" s="115"/>
      <c r="AG125" s="115"/>
      <c r="AH125" s="115"/>
      <c r="AI125" s="115"/>
      <c r="AJ125" s="115"/>
      <c r="AK125" s="115"/>
      <c r="AL125" s="115"/>
    </row>
    <row r="126" spans="1:38">
      <c r="A126" s="13">
        <f t="shared" si="35"/>
        <v>119</v>
      </c>
      <c r="B126" s="123"/>
      <c r="C126" s="116"/>
      <c r="D126" s="116"/>
      <c r="E126" s="115"/>
      <c r="F126" s="116"/>
      <c r="G126" s="115"/>
      <c r="H126" s="117"/>
      <c r="I126" s="115"/>
      <c r="J126" s="115"/>
      <c r="K126" s="115"/>
      <c r="L126" s="115"/>
      <c r="M126" s="156">
        <f t="shared" si="36"/>
        <v>0</v>
      </c>
      <c r="N126" s="156"/>
      <c r="O126" s="156"/>
      <c r="P126" s="119">
        <f t="shared" si="37"/>
        <v>0</v>
      </c>
      <c r="Q126" s="115" t="e">
        <f t="shared" si="33"/>
        <v>#DIV/0!</v>
      </c>
      <c r="R126" s="160">
        <f t="shared" si="34"/>
        <v>0</v>
      </c>
      <c r="S126" s="160">
        <f t="shared" si="38"/>
        <v>0</v>
      </c>
      <c r="T126" s="120"/>
      <c r="U126" s="119"/>
      <c r="V126" s="115"/>
      <c r="W126" s="120"/>
      <c r="X126" s="120"/>
      <c r="Y126" s="158"/>
      <c r="Z126" s="160"/>
      <c r="AA126" s="160"/>
      <c r="AB126" s="160"/>
      <c r="AC126" s="160"/>
      <c r="AD126" s="119"/>
      <c r="AE126" s="115"/>
      <c r="AF126" s="115"/>
      <c r="AG126" s="115"/>
      <c r="AH126" s="115"/>
      <c r="AI126" s="115"/>
      <c r="AJ126" s="115"/>
      <c r="AK126" s="115"/>
      <c r="AL126" s="115"/>
    </row>
    <row r="127" spans="1:38">
      <c r="A127" s="13">
        <f t="shared" si="35"/>
        <v>120</v>
      </c>
      <c r="B127" s="123"/>
      <c r="C127" s="116"/>
      <c r="D127" s="116"/>
      <c r="E127" s="115"/>
      <c r="F127" s="116"/>
      <c r="G127" s="115"/>
      <c r="H127" s="117"/>
      <c r="I127" s="115"/>
      <c r="J127" s="115"/>
      <c r="K127" s="115"/>
      <c r="L127" s="115"/>
      <c r="M127" s="156">
        <f t="shared" si="36"/>
        <v>0</v>
      </c>
      <c r="N127" s="156"/>
      <c r="O127" s="156"/>
      <c r="P127" s="119">
        <f t="shared" si="37"/>
        <v>0</v>
      </c>
      <c r="Q127" s="115" t="e">
        <f t="shared" si="33"/>
        <v>#DIV/0!</v>
      </c>
      <c r="R127" s="160">
        <f t="shared" si="34"/>
        <v>0</v>
      </c>
      <c r="S127" s="160">
        <f t="shared" si="38"/>
        <v>0</v>
      </c>
      <c r="T127" s="120"/>
      <c r="U127" s="119"/>
      <c r="V127" s="115"/>
      <c r="W127" s="120"/>
      <c r="X127" s="120"/>
      <c r="Y127" s="158"/>
      <c r="Z127" s="160"/>
      <c r="AA127" s="160"/>
      <c r="AB127" s="160"/>
      <c r="AC127" s="160"/>
      <c r="AD127" s="119"/>
      <c r="AE127" s="115"/>
      <c r="AF127" s="115"/>
      <c r="AG127" s="115"/>
      <c r="AH127" s="115"/>
      <c r="AI127" s="115"/>
      <c r="AJ127" s="115"/>
      <c r="AK127" s="115"/>
      <c r="AL127" s="115"/>
    </row>
    <row r="128" spans="1:38">
      <c r="A128" s="13">
        <f t="shared" si="35"/>
        <v>121</v>
      </c>
      <c r="B128" s="123"/>
      <c r="C128" s="116"/>
      <c r="D128" s="116"/>
      <c r="E128" s="115"/>
      <c r="F128" s="116"/>
      <c r="G128" s="115"/>
      <c r="H128" s="117"/>
      <c r="I128" s="115"/>
      <c r="J128" s="115"/>
      <c r="K128" s="115"/>
      <c r="L128" s="115"/>
      <c r="M128" s="156">
        <f t="shared" si="36"/>
        <v>0</v>
      </c>
      <c r="N128" s="156"/>
      <c r="O128" s="156"/>
      <c r="P128" s="119">
        <f t="shared" si="37"/>
        <v>0</v>
      </c>
      <c r="Q128" s="115" t="e">
        <f t="shared" si="33"/>
        <v>#DIV/0!</v>
      </c>
      <c r="R128" s="160">
        <f t="shared" si="34"/>
        <v>0</v>
      </c>
      <c r="S128" s="160">
        <f t="shared" si="38"/>
        <v>0</v>
      </c>
      <c r="T128" s="120"/>
      <c r="U128" s="119"/>
      <c r="V128" s="115"/>
      <c r="W128" s="120"/>
      <c r="X128" s="120"/>
      <c r="Y128" s="158"/>
      <c r="Z128" s="160"/>
      <c r="AA128" s="160"/>
      <c r="AB128" s="160"/>
      <c r="AC128" s="160"/>
      <c r="AD128" s="119"/>
      <c r="AE128" s="115"/>
      <c r="AF128" s="115"/>
      <c r="AG128" s="115"/>
      <c r="AH128" s="115"/>
      <c r="AI128" s="115"/>
      <c r="AJ128" s="115"/>
      <c r="AK128" s="115"/>
      <c r="AL128" s="115"/>
    </row>
    <row r="129" spans="1:38">
      <c r="A129" s="13">
        <f t="shared" si="35"/>
        <v>122</v>
      </c>
      <c r="B129" s="123"/>
      <c r="C129" s="116"/>
      <c r="D129" s="116"/>
      <c r="E129" s="115"/>
      <c r="F129" s="116"/>
      <c r="G129" s="115"/>
      <c r="H129" s="117"/>
      <c r="I129" s="115"/>
      <c r="J129" s="115"/>
      <c r="K129" s="115"/>
      <c r="L129" s="115"/>
      <c r="M129" s="156">
        <f t="shared" si="36"/>
        <v>0</v>
      </c>
      <c r="N129" s="156"/>
      <c r="O129" s="156"/>
      <c r="P129" s="119">
        <f t="shared" si="37"/>
        <v>0</v>
      </c>
      <c r="Q129" s="115" t="e">
        <f t="shared" si="33"/>
        <v>#DIV/0!</v>
      </c>
      <c r="R129" s="160">
        <f t="shared" si="34"/>
        <v>0</v>
      </c>
      <c r="S129" s="160">
        <f t="shared" si="38"/>
        <v>0</v>
      </c>
      <c r="T129" s="120"/>
      <c r="U129" s="119"/>
      <c r="V129" s="115"/>
      <c r="W129" s="120"/>
      <c r="X129" s="120"/>
      <c r="Y129" s="158"/>
      <c r="Z129" s="160"/>
      <c r="AA129" s="160"/>
      <c r="AB129" s="160"/>
      <c r="AC129" s="160"/>
      <c r="AD129" s="119"/>
      <c r="AE129" s="115"/>
      <c r="AF129" s="115"/>
      <c r="AG129" s="115"/>
      <c r="AH129" s="115"/>
      <c r="AI129" s="115"/>
      <c r="AJ129" s="115"/>
      <c r="AK129" s="115"/>
      <c r="AL129" s="115"/>
    </row>
    <row r="130" spans="1:38">
      <c r="A130" s="13">
        <f t="shared" si="35"/>
        <v>123</v>
      </c>
      <c r="B130" s="123"/>
      <c r="C130" s="116"/>
      <c r="D130" s="116"/>
      <c r="E130" s="115"/>
      <c r="F130" s="116"/>
      <c r="G130" s="115"/>
      <c r="H130" s="117"/>
      <c r="I130" s="115"/>
      <c r="J130" s="115"/>
      <c r="K130" s="115"/>
      <c r="L130" s="115"/>
      <c r="M130" s="156">
        <f t="shared" si="36"/>
        <v>0</v>
      </c>
      <c r="N130" s="156"/>
      <c r="O130" s="156"/>
      <c r="P130" s="119">
        <f t="shared" si="37"/>
        <v>0</v>
      </c>
      <c r="Q130" s="115" t="e">
        <f t="shared" si="33"/>
        <v>#DIV/0!</v>
      </c>
      <c r="R130" s="160">
        <f t="shared" si="34"/>
        <v>0</v>
      </c>
      <c r="S130" s="160">
        <f t="shared" si="38"/>
        <v>0</v>
      </c>
      <c r="T130" s="120"/>
      <c r="U130" s="119"/>
      <c r="V130" s="115"/>
      <c r="W130" s="120"/>
      <c r="X130" s="120"/>
      <c r="Y130" s="158"/>
      <c r="Z130" s="160"/>
      <c r="AA130" s="160"/>
      <c r="AB130" s="160"/>
      <c r="AC130" s="160"/>
      <c r="AD130" s="119"/>
      <c r="AE130" s="115"/>
      <c r="AF130" s="115"/>
      <c r="AG130" s="115"/>
      <c r="AH130" s="115"/>
      <c r="AI130" s="115"/>
      <c r="AJ130" s="115"/>
      <c r="AK130" s="115"/>
      <c r="AL130" s="115"/>
    </row>
    <row r="131" spans="1:38">
      <c r="A131" s="13">
        <f t="shared" si="35"/>
        <v>124</v>
      </c>
      <c r="B131" s="123"/>
      <c r="C131" s="116"/>
      <c r="D131" s="116"/>
      <c r="E131" s="115"/>
      <c r="F131" s="116"/>
      <c r="G131" s="115"/>
      <c r="H131" s="117"/>
      <c r="I131" s="115"/>
      <c r="J131" s="115"/>
      <c r="K131" s="115"/>
      <c r="L131" s="115"/>
      <c r="M131" s="156">
        <f t="shared" si="36"/>
        <v>0</v>
      </c>
      <c r="N131" s="156"/>
      <c r="O131" s="156"/>
      <c r="P131" s="119">
        <f t="shared" si="37"/>
        <v>0</v>
      </c>
      <c r="Q131" s="115" t="e">
        <f t="shared" si="33"/>
        <v>#DIV/0!</v>
      </c>
      <c r="R131" s="160">
        <f t="shared" si="34"/>
        <v>0</v>
      </c>
      <c r="S131" s="160">
        <f t="shared" si="38"/>
        <v>0</v>
      </c>
      <c r="T131" s="120"/>
      <c r="U131" s="119"/>
      <c r="V131" s="115"/>
      <c r="W131" s="120"/>
      <c r="X131" s="120"/>
      <c r="Y131" s="158"/>
      <c r="Z131" s="160"/>
      <c r="AA131" s="160"/>
      <c r="AB131" s="160"/>
      <c r="AC131" s="160"/>
      <c r="AD131" s="119"/>
      <c r="AE131" s="115"/>
      <c r="AF131" s="115"/>
      <c r="AG131" s="115"/>
      <c r="AH131" s="115"/>
      <c r="AI131" s="115"/>
      <c r="AJ131" s="115"/>
      <c r="AK131" s="115"/>
      <c r="AL131" s="115"/>
    </row>
    <row r="132" spans="1:38">
      <c r="A132" s="13">
        <f t="shared" si="35"/>
        <v>125</v>
      </c>
      <c r="B132" s="123"/>
      <c r="C132" s="116"/>
      <c r="D132" s="116"/>
      <c r="E132" s="115"/>
      <c r="F132" s="116"/>
      <c r="G132" s="115"/>
      <c r="H132" s="117"/>
      <c r="I132" s="115"/>
      <c r="J132" s="115"/>
      <c r="K132" s="115"/>
      <c r="L132" s="115"/>
      <c r="M132" s="156">
        <f t="shared" si="36"/>
        <v>0</v>
      </c>
      <c r="N132" s="156"/>
      <c r="O132" s="156"/>
      <c r="P132" s="119">
        <f t="shared" si="37"/>
        <v>0</v>
      </c>
      <c r="Q132" s="115" t="e">
        <f t="shared" si="33"/>
        <v>#DIV/0!</v>
      </c>
      <c r="R132" s="160">
        <f t="shared" si="34"/>
        <v>0</v>
      </c>
      <c r="S132" s="160">
        <f t="shared" si="38"/>
        <v>0</v>
      </c>
      <c r="T132" s="120"/>
      <c r="U132" s="119"/>
      <c r="V132" s="115"/>
      <c r="W132" s="120"/>
      <c r="X132" s="120"/>
      <c r="Y132" s="158"/>
      <c r="Z132" s="160"/>
      <c r="AA132" s="160"/>
      <c r="AB132" s="160"/>
      <c r="AC132" s="160"/>
      <c r="AD132" s="119"/>
      <c r="AE132" s="115"/>
      <c r="AF132" s="115"/>
      <c r="AG132" s="115"/>
      <c r="AH132" s="115"/>
      <c r="AI132" s="115"/>
      <c r="AJ132" s="115"/>
      <c r="AK132" s="115"/>
      <c r="AL132" s="115"/>
    </row>
    <row r="133" spans="1:38">
      <c r="A133" s="13">
        <f t="shared" si="35"/>
        <v>126</v>
      </c>
      <c r="B133" s="123"/>
      <c r="C133" s="116"/>
      <c r="D133" s="116"/>
      <c r="E133" s="115"/>
      <c r="F133" s="116"/>
      <c r="G133" s="115"/>
      <c r="H133" s="117"/>
      <c r="I133" s="115"/>
      <c r="J133" s="115"/>
      <c r="K133" s="115"/>
      <c r="L133" s="115"/>
      <c r="M133" s="156">
        <f t="shared" si="36"/>
        <v>0</v>
      </c>
      <c r="N133" s="156"/>
      <c r="O133" s="156"/>
      <c r="P133" s="119">
        <f t="shared" si="37"/>
        <v>0</v>
      </c>
      <c r="Q133" s="115" t="e">
        <f t="shared" si="33"/>
        <v>#DIV/0!</v>
      </c>
      <c r="R133" s="160">
        <f t="shared" si="34"/>
        <v>0</v>
      </c>
      <c r="S133" s="160">
        <f t="shared" si="38"/>
        <v>0</v>
      </c>
      <c r="T133" s="120"/>
      <c r="U133" s="119"/>
      <c r="V133" s="115"/>
      <c r="W133" s="120"/>
      <c r="X133" s="120"/>
      <c r="Y133" s="158"/>
      <c r="Z133" s="160"/>
      <c r="AA133" s="160"/>
      <c r="AB133" s="160"/>
      <c r="AC133" s="160"/>
      <c r="AD133" s="119"/>
      <c r="AE133" s="115"/>
      <c r="AF133" s="115"/>
      <c r="AG133" s="115"/>
      <c r="AH133" s="115"/>
      <c r="AI133" s="115"/>
      <c r="AJ133" s="115"/>
      <c r="AK133" s="115"/>
      <c r="AL133" s="115"/>
    </row>
    <row r="134" spans="1:38">
      <c r="A134" s="13">
        <f t="shared" si="35"/>
        <v>127</v>
      </c>
      <c r="B134" s="123"/>
      <c r="C134" s="116"/>
      <c r="D134" s="116"/>
      <c r="E134" s="115"/>
      <c r="F134" s="116"/>
      <c r="G134" s="115"/>
      <c r="H134" s="117"/>
      <c r="I134" s="115"/>
      <c r="J134" s="115"/>
      <c r="K134" s="115"/>
      <c r="L134" s="115"/>
      <c r="M134" s="156">
        <f t="shared" si="36"/>
        <v>0</v>
      </c>
      <c r="N134" s="156"/>
      <c r="O134" s="156"/>
      <c r="P134" s="119">
        <f t="shared" si="37"/>
        <v>0</v>
      </c>
      <c r="Q134" s="115" t="e">
        <f t="shared" si="33"/>
        <v>#DIV/0!</v>
      </c>
      <c r="R134" s="160">
        <f t="shared" si="34"/>
        <v>0</v>
      </c>
      <c r="S134" s="160">
        <f t="shared" si="38"/>
        <v>0</v>
      </c>
      <c r="T134" s="120"/>
      <c r="U134" s="119"/>
      <c r="V134" s="115"/>
      <c r="W134" s="120"/>
      <c r="X134" s="120"/>
      <c r="Y134" s="158"/>
      <c r="Z134" s="160"/>
      <c r="AA134" s="160"/>
      <c r="AB134" s="160"/>
      <c r="AC134" s="160"/>
      <c r="AD134" s="119"/>
      <c r="AE134" s="115"/>
      <c r="AF134" s="115"/>
      <c r="AG134" s="115"/>
      <c r="AH134" s="115"/>
      <c r="AI134" s="115"/>
      <c r="AJ134" s="115"/>
      <c r="AK134" s="115"/>
      <c r="AL134" s="115"/>
    </row>
    <row r="135" spans="1:38">
      <c r="A135" s="13">
        <f t="shared" si="35"/>
        <v>128</v>
      </c>
      <c r="B135" s="123"/>
      <c r="C135" s="116"/>
      <c r="D135" s="116"/>
      <c r="E135" s="115"/>
      <c r="F135" s="116"/>
      <c r="G135" s="115"/>
      <c r="H135" s="117"/>
      <c r="I135" s="115"/>
      <c r="J135" s="115"/>
      <c r="K135" s="115"/>
      <c r="L135" s="115"/>
      <c r="M135" s="156">
        <f t="shared" si="36"/>
        <v>0</v>
      </c>
      <c r="N135" s="156"/>
      <c r="O135" s="156"/>
      <c r="P135" s="119">
        <f t="shared" si="37"/>
        <v>0</v>
      </c>
      <c r="Q135" s="115" t="e">
        <f t="shared" si="33"/>
        <v>#DIV/0!</v>
      </c>
      <c r="R135" s="160">
        <f t="shared" si="34"/>
        <v>0</v>
      </c>
      <c r="S135" s="160">
        <f t="shared" si="38"/>
        <v>0</v>
      </c>
      <c r="T135" s="120"/>
      <c r="U135" s="119"/>
      <c r="V135" s="115"/>
      <c r="W135" s="120"/>
      <c r="X135" s="120"/>
      <c r="Y135" s="158"/>
      <c r="Z135" s="160"/>
      <c r="AA135" s="160"/>
      <c r="AB135" s="160"/>
      <c r="AC135" s="160"/>
      <c r="AD135" s="119"/>
      <c r="AE135" s="115"/>
      <c r="AF135" s="115"/>
      <c r="AG135" s="115"/>
      <c r="AH135" s="115"/>
      <c r="AI135" s="115"/>
      <c r="AJ135" s="115"/>
      <c r="AK135" s="115"/>
      <c r="AL135" s="115"/>
    </row>
    <row r="136" spans="1:38">
      <c r="A136" s="13">
        <f t="shared" si="35"/>
        <v>129</v>
      </c>
      <c r="B136" s="123"/>
      <c r="C136" s="116"/>
      <c r="D136" s="116"/>
      <c r="E136" s="115"/>
      <c r="F136" s="116"/>
      <c r="G136" s="115"/>
      <c r="H136" s="117"/>
      <c r="I136" s="115"/>
      <c r="J136" s="115"/>
      <c r="K136" s="115"/>
      <c r="L136" s="115"/>
      <c r="M136" s="156">
        <f t="shared" si="36"/>
        <v>0</v>
      </c>
      <c r="N136" s="156"/>
      <c r="O136" s="156"/>
      <c r="P136" s="119">
        <f t="shared" si="37"/>
        <v>0</v>
      </c>
      <c r="Q136" s="115" t="e">
        <f t="shared" ref="Q136:Q199" si="39">K136/$J136</f>
        <v>#DIV/0!</v>
      </c>
      <c r="R136" s="160">
        <f t="shared" ref="R136:R199" si="40">$J136*$I136</f>
        <v>0</v>
      </c>
      <c r="S136" s="160">
        <f t="shared" si="38"/>
        <v>0</v>
      </c>
      <c r="T136" s="120"/>
      <c r="U136" s="119"/>
      <c r="V136" s="115"/>
      <c r="W136" s="120"/>
      <c r="X136" s="120"/>
      <c r="Y136" s="158"/>
      <c r="Z136" s="160"/>
      <c r="AA136" s="160"/>
      <c r="AB136" s="160"/>
      <c r="AC136" s="160"/>
      <c r="AD136" s="119"/>
      <c r="AE136" s="115"/>
      <c r="AF136" s="115"/>
      <c r="AG136" s="115"/>
      <c r="AH136" s="115"/>
      <c r="AI136" s="115"/>
      <c r="AJ136" s="115"/>
      <c r="AK136" s="115"/>
      <c r="AL136" s="115"/>
    </row>
    <row r="137" spans="1:38">
      <c r="A137" s="13">
        <f t="shared" ref="A137:A200" si="41">A136+1</f>
        <v>130</v>
      </c>
      <c r="B137" s="123"/>
      <c r="C137" s="116"/>
      <c r="D137" s="116"/>
      <c r="E137" s="115"/>
      <c r="F137" s="116"/>
      <c r="G137" s="115"/>
      <c r="H137" s="117"/>
      <c r="I137" s="115"/>
      <c r="J137" s="115"/>
      <c r="K137" s="115"/>
      <c r="L137" s="115"/>
      <c r="M137" s="156">
        <f t="shared" si="36"/>
        <v>0</v>
      </c>
      <c r="N137" s="156"/>
      <c r="O137" s="156"/>
      <c r="P137" s="119">
        <f t="shared" si="37"/>
        <v>0</v>
      </c>
      <c r="Q137" s="115" t="e">
        <f t="shared" si="39"/>
        <v>#DIV/0!</v>
      </c>
      <c r="R137" s="160">
        <f t="shared" si="40"/>
        <v>0</v>
      </c>
      <c r="S137" s="160">
        <f t="shared" si="38"/>
        <v>0</v>
      </c>
      <c r="T137" s="120"/>
      <c r="U137" s="119"/>
      <c r="V137" s="115"/>
      <c r="W137" s="120"/>
      <c r="X137" s="120"/>
      <c r="Y137" s="158"/>
      <c r="Z137" s="160"/>
      <c r="AA137" s="160"/>
      <c r="AB137" s="160"/>
      <c r="AC137" s="160"/>
      <c r="AD137" s="119"/>
      <c r="AE137" s="115"/>
      <c r="AF137" s="115"/>
      <c r="AG137" s="115"/>
      <c r="AH137" s="115"/>
      <c r="AI137" s="115"/>
      <c r="AJ137" s="115"/>
      <c r="AK137" s="115"/>
      <c r="AL137" s="115"/>
    </row>
    <row r="138" spans="1:38">
      <c r="A138" s="13">
        <f t="shared" si="41"/>
        <v>131</v>
      </c>
      <c r="B138" s="123"/>
      <c r="C138" s="116"/>
      <c r="D138" s="116"/>
      <c r="E138" s="115"/>
      <c r="F138" s="116"/>
      <c r="G138" s="115"/>
      <c r="H138" s="117"/>
      <c r="I138" s="115"/>
      <c r="J138" s="115"/>
      <c r="K138" s="115"/>
      <c r="L138" s="115"/>
      <c r="M138" s="156">
        <f t="shared" si="36"/>
        <v>0</v>
      </c>
      <c r="N138" s="156"/>
      <c r="O138" s="156"/>
      <c r="P138" s="119">
        <f t="shared" si="37"/>
        <v>0</v>
      </c>
      <c r="Q138" s="115" t="e">
        <f t="shared" si="39"/>
        <v>#DIV/0!</v>
      </c>
      <c r="R138" s="160">
        <f t="shared" si="40"/>
        <v>0</v>
      </c>
      <c r="S138" s="160">
        <f t="shared" si="38"/>
        <v>0</v>
      </c>
      <c r="T138" s="120"/>
      <c r="U138" s="119"/>
      <c r="V138" s="115"/>
      <c r="W138" s="120"/>
      <c r="X138" s="120"/>
      <c r="Y138" s="158"/>
      <c r="Z138" s="160"/>
      <c r="AA138" s="160"/>
      <c r="AB138" s="160"/>
      <c r="AC138" s="160"/>
      <c r="AD138" s="119"/>
      <c r="AE138" s="115"/>
      <c r="AF138" s="115"/>
      <c r="AG138" s="115"/>
      <c r="AH138" s="115"/>
      <c r="AI138" s="115"/>
      <c r="AJ138" s="115"/>
      <c r="AK138" s="115"/>
      <c r="AL138" s="115"/>
    </row>
    <row r="139" spans="1:38">
      <c r="A139" s="13">
        <f t="shared" si="41"/>
        <v>132</v>
      </c>
      <c r="B139" s="123"/>
      <c r="C139" s="116"/>
      <c r="D139" s="116"/>
      <c r="E139" s="115"/>
      <c r="F139" s="116"/>
      <c r="G139" s="115"/>
      <c r="H139" s="117"/>
      <c r="I139" s="115"/>
      <c r="J139" s="115"/>
      <c r="K139" s="115"/>
      <c r="L139" s="115"/>
      <c r="M139" s="156">
        <f t="shared" si="36"/>
        <v>0</v>
      </c>
      <c r="N139" s="156"/>
      <c r="O139" s="156"/>
      <c r="P139" s="119">
        <f t="shared" si="37"/>
        <v>0</v>
      </c>
      <c r="Q139" s="115" t="e">
        <f t="shared" si="39"/>
        <v>#DIV/0!</v>
      </c>
      <c r="R139" s="160">
        <f t="shared" si="40"/>
        <v>0</v>
      </c>
      <c r="S139" s="160">
        <f t="shared" si="38"/>
        <v>0</v>
      </c>
      <c r="T139" s="120"/>
      <c r="U139" s="119"/>
      <c r="V139" s="115"/>
      <c r="W139" s="120"/>
      <c r="X139" s="120"/>
      <c r="Y139" s="158"/>
      <c r="Z139" s="160"/>
      <c r="AA139" s="160"/>
      <c r="AB139" s="160"/>
      <c r="AC139" s="160"/>
      <c r="AD139" s="119"/>
      <c r="AE139" s="115"/>
      <c r="AF139" s="115"/>
      <c r="AG139" s="115"/>
      <c r="AH139" s="115"/>
      <c r="AI139" s="115"/>
      <c r="AJ139" s="115"/>
      <c r="AK139" s="115"/>
      <c r="AL139" s="115"/>
    </row>
    <row r="140" spans="1:38">
      <c r="A140" s="13">
        <f t="shared" si="41"/>
        <v>133</v>
      </c>
      <c r="B140" s="123"/>
      <c r="C140" s="116"/>
      <c r="D140" s="116"/>
      <c r="E140" s="115"/>
      <c r="F140" s="116"/>
      <c r="G140" s="115"/>
      <c r="H140" s="117"/>
      <c r="I140" s="115"/>
      <c r="J140" s="115"/>
      <c r="K140" s="115"/>
      <c r="L140" s="115"/>
      <c r="M140" s="156">
        <f t="shared" si="36"/>
        <v>0</v>
      </c>
      <c r="N140" s="156"/>
      <c r="O140" s="156"/>
      <c r="P140" s="119">
        <f t="shared" si="37"/>
        <v>0</v>
      </c>
      <c r="Q140" s="115" t="e">
        <f t="shared" si="39"/>
        <v>#DIV/0!</v>
      </c>
      <c r="R140" s="160">
        <f t="shared" si="40"/>
        <v>0</v>
      </c>
      <c r="S140" s="160">
        <f t="shared" si="38"/>
        <v>0</v>
      </c>
      <c r="T140" s="120"/>
      <c r="U140" s="119"/>
      <c r="V140" s="115"/>
      <c r="W140" s="120"/>
      <c r="X140" s="120"/>
      <c r="Y140" s="158"/>
      <c r="Z140" s="160"/>
      <c r="AA140" s="160"/>
      <c r="AB140" s="160"/>
      <c r="AC140" s="160"/>
      <c r="AD140" s="119"/>
      <c r="AE140" s="115"/>
      <c r="AF140" s="115"/>
      <c r="AG140" s="115"/>
      <c r="AH140" s="115"/>
      <c r="AI140" s="115"/>
      <c r="AJ140" s="115"/>
      <c r="AK140" s="115"/>
      <c r="AL140" s="115"/>
    </row>
    <row r="141" spans="1:38">
      <c r="A141" s="13">
        <f t="shared" si="41"/>
        <v>134</v>
      </c>
      <c r="B141" s="123"/>
      <c r="C141" s="116"/>
      <c r="D141" s="116"/>
      <c r="E141" s="115"/>
      <c r="F141" s="116"/>
      <c r="G141" s="115"/>
      <c r="H141" s="117"/>
      <c r="I141" s="115"/>
      <c r="J141" s="115"/>
      <c r="K141" s="115"/>
      <c r="L141" s="115"/>
      <c r="M141" s="156">
        <f t="shared" si="36"/>
        <v>0</v>
      </c>
      <c r="N141" s="156"/>
      <c r="O141" s="156"/>
      <c r="P141" s="119">
        <f t="shared" si="37"/>
        <v>0</v>
      </c>
      <c r="Q141" s="115" t="e">
        <f t="shared" si="39"/>
        <v>#DIV/0!</v>
      </c>
      <c r="R141" s="160">
        <f t="shared" si="40"/>
        <v>0</v>
      </c>
      <c r="S141" s="160">
        <f t="shared" si="38"/>
        <v>0</v>
      </c>
      <c r="T141" s="120"/>
      <c r="U141" s="119"/>
      <c r="V141" s="115"/>
      <c r="W141" s="120"/>
      <c r="X141" s="120"/>
      <c r="Y141" s="158"/>
      <c r="Z141" s="160"/>
      <c r="AA141" s="160"/>
      <c r="AB141" s="160"/>
      <c r="AC141" s="160"/>
      <c r="AD141" s="119"/>
      <c r="AE141" s="115"/>
      <c r="AF141" s="115"/>
      <c r="AG141" s="115"/>
      <c r="AH141" s="115"/>
      <c r="AI141" s="115"/>
      <c r="AJ141" s="115"/>
      <c r="AK141" s="115"/>
      <c r="AL141" s="115"/>
    </row>
    <row r="142" spans="1:38">
      <c r="A142" s="13">
        <f t="shared" si="41"/>
        <v>135</v>
      </c>
      <c r="B142" s="123"/>
      <c r="C142" s="116"/>
      <c r="D142" s="116"/>
      <c r="E142" s="115"/>
      <c r="F142" s="116"/>
      <c r="G142" s="115"/>
      <c r="H142" s="117"/>
      <c r="I142" s="115"/>
      <c r="J142" s="115"/>
      <c r="K142" s="115"/>
      <c r="L142" s="115"/>
      <c r="M142" s="156">
        <f t="shared" si="36"/>
        <v>0</v>
      </c>
      <c r="N142" s="156"/>
      <c r="O142" s="156"/>
      <c r="P142" s="119">
        <f t="shared" si="37"/>
        <v>0</v>
      </c>
      <c r="Q142" s="115" t="e">
        <f t="shared" si="39"/>
        <v>#DIV/0!</v>
      </c>
      <c r="R142" s="160">
        <f t="shared" si="40"/>
        <v>0</v>
      </c>
      <c r="S142" s="160">
        <f t="shared" si="38"/>
        <v>0</v>
      </c>
      <c r="T142" s="120"/>
      <c r="U142" s="119"/>
      <c r="V142" s="115"/>
      <c r="W142" s="120"/>
      <c r="X142" s="120"/>
      <c r="Y142" s="158"/>
      <c r="Z142" s="160"/>
      <c r="AA142" s="160"/>
      <c r="AB142" s="160"/>
      <c r="AC142" s="160"/>
      <c r="AD142" s="119"/>
      <c r="AE142" s="115"/>
      <c r="AF142" s="115"/>
      <c r="AG142" s="115"/>
      <c r="AH142" s="115"/>
      <c r="AI142" s="115"/>
      <c r="AJ142" s="115"/>
      <c r="AK142" s="115"/>
      <c r="AL142" s="115"/>
    </row>
    <row r="143" spans="1:38">
      <c r="A143" s="13">
        <f t="shared" si="41"/>
        <v>136</v>
      </c>
      <c r="B143" s="123"/>
      <c r="C143" s="116"/>
      <c r="D143" s="116"/>
      <c r="E143" s="115"/>
      <c r="F143" s="116"/>
      <c r="G143" s="115"/>
      <c r="H143" s="117"/>
      <c r="I143" s="115"/>
      <c r="J143" s="115"/>
      <c r="K143" s="115"/>
      <c r="L143" s="115"/>
      <c r="M143" s="156">
        <f t="shared" si="36"/>
        <v>0</v>
      </c>
      <c r="N143" s="156"/>
      <c r="O143" s="156"/>
      <c r="P143" s="119">
        <f t="shared" si="37"/>
        <v>0</v>
      </c>
      <c r="Q143" s="115" t="e">
        <f t="shared" si="39"/>
        <v>#DIV/0!</v>
      </c>
      <c r="R143" s="160">
        <f t="shared" si="40"/>
        <v>0</v>
      </c>
      <c r="S143" s="160">
        <f t="shared" si="38"/>
        <v>0</v>
      </c>
      <c r="T143" s="120"/>
      <c r="U143" s="119"/>
      <c r="V143" s="115"/>
      <c r="W143" s="120"/>
      <c r="X143" s="120"/>
      <c r="Y143" s="158"/>
      <c r="Z143" s="160"/>
      <c r="AA143" s="160"/>
      <c r="AB143" s="160"/>
      <c r="AC143" s="160"/>
      <c r="AD143" s="119"/>
      <c r="AE143" s="115"/>
      <c r="AF143" s="115"/>
      <c r="AG143" s="115"/>
      <c r="AH143" s="115"/>
      <c r="AI143" s="115"/>
      <c r="AJ143" s="115"/>
      <c r="AK143" s="115"/>
      <c r="AL143" s="115"/>
    </row>
    <row r="144" spans="1:38">
      <c r="A144" s="13">
        <f t="shared" si="41"/>
        <v>137</v>
      </c>
      <c r="B144" s="123"/>
      <c r="C144" s="116"/>
      <c r="D144" s="116"/>
      <c r="E144" s="115"/>
      <c r="F144" s="116"/>
      <c r="G144" s="115"/>
      <c r="H144" s="117"/>
      <c r="I144" s="115"/>
      <c r="J144" s="115"/>
      <c r="K144" s="115"/>
      <c r="L144" s="115"/>
      <c r="M144" s="156">
        <f t="shared" si="36"/>
        <v>0</v>
      </c>
      <c r="N144" s="156"/>
      <c r="O144" s="156"/>
      <c r="P144" s="119">
        <f t="shared" si="37"/>
        <v>0</v>
      </c>
      <c r="Q144" s="115" t="e">
        <f t="shared" si="39"/>
        <v>#DIV/0!</v>
      </c>
      <c r="R144" s="160">
        <f t="shared" si="40"/>
        <v>0</v>
      </c>
      <c r="S144" s="160">
        <f t="shared" si="38"/>
        <v>0</v>
      </c>
      <c r="T144" s="120"/>
      <c r="U144" s="119"/>
      <c r="V144" s="115"/>
      <c r="W144" s="120"/>
      <c r="X144" s="120"/>
      <c r="Y144" s="158"/>
      <c r="Z144" s="160"/>
      <c r="AA144" s="160"/>
      <c r="AB144" s="160"/>
      <c r="AC144" s="160"/>
      <c r="AD144" s="119"/>
      <c r="AE144" s="115"/>
      <c r="AF144" s="115"/>
      <c r="AG144" s="115"/>
      <c r="AH144" s="115"/>
      <c r="AI144" s="115"/>
      <c r="AJ144" s="115"/>
      <c r="AK144" s="115"/>
      <c r="AL144" s="115"/>
    </row>
    <row r="145" spans="1:38">
      <c r="A145" s="13">
        <f t="shared" si="41"/>
        <v>138</v>
      </c>
      <c r="B145" s="123"/>
      <c r="C145" s="116"/>
      <c r="D145" s="116"/>
      <c r="E145" s="115"/>
      <c r="F145" s="116"/>
      <c r="G145" s="115"/>
      <c r="H145" s="117"/>
      <c r="I145" s="115"/>
      <c r="J145" s="115"/>
      <c r="K145" s="115"/>
      <c r="L145" s="115"/>
      <c r="M145" s="156">
        <f t="shared" si="36"/>
        <v>0</v>
      </c>
      <c r="N145" s="156"/>
      <c r="O145" s="156"/>
      <c r="P145" s="119">
        <f t="shared" si="37"/>
        <v>0</v>
      </c>
      <c r="Q145" s="115" t="e">
        <f t="shared" si="39"/>
        <v>#DIV/0!</v>
      </c>
      <c r="R145" s="160">
        <f t="shared" si="40"/>
        <v>0</v>
      </c>
      <c r="S145" s="160">
        <f t="shared" si="38"/>
        <v>0</v>
      </c>
      <c r="T145" s="120"/>
      <c r="U145" s="119"/>
      <c r="V145" s="115"/>
      <c r="W145" s="120"/>
      <c r="X145" s="120"/>
      <c r="Y145" s="158"/>
      <c r="Z145" s="160"/>
      <c r="AA145" s="160"/>
      <c r="AB145" s="160"/>
      <c r="AC145" s="160"/>
      <c r="AD145" s="119"/>
      <c r="AE145" s="115"/>
      <c r="AF145" s="115"/>
      <c r="AG145" s="115"/>
      <c r="AH145" s="115"/>
      <c r="AI145" s="115"/>
      <c r="AJ145" s="115"/>
      <c r="AK145" s="115"/>
      <c r="AL145" s="115"/>
    </row>
    <row r="146" spans="1:38">
      <c r="A146" s="13">
        <f t="shared" si="41"/>
        <v>139</v>
      </c>
      <c r="B146" s="123"/>
      <c r="C146" s="116"/>
      <c r="D146" s="116"/>
      <c r="E146" s="115"/>
      <c r="F146" s="116"/>
      <c r="G146" s="115"/>
      <c r="H146" s="117"/>
      <c r="I146" s="115"/>
      <c r="J146" s="115"/>
      <c r="K146" s="115"/>
      <c r="L146" s="115"/>
      <c r="M146" s="156">
        <f t="shared" si="36"/>
        <v>0</v>
      </c>
      <c r="N146" s="156"/>
      <c r="O146" s="156"/>
      <c r="P146" s="119">
        <f t="shared" si="37"/>
        <v>0</v>
      </c>
      <c r="Q146" s="115" t="e">
        <f t="shared" si="39"/>
        <v>#DIV/0!</v>
      </c>
      <c r="R146" s="160">
        <f t="shared" si="40"/>
        <v>0</v>
      </c>
      <c r="S146" s="160">
        <f t="shared" si="38"/>
        <v>0</v>
      </c>
      <c r="T146" s="120"/>
      <c r="U146" s="119"/>
      <c r="V146" s="115"/>
      <c r="W146" s="120"/>
      <c r="X146" s="120"/>
      <c r="Y146" s="158"/>
      <c r="Z146" s="160"/>
      <c r="AA146" s="160"/>
      <c r="AB146" s="160"/>
      <c r="AC146" s="160"/>
      <c r="AD146" s="119"/>
      <c r="AE146" s="115"/>
      <c r="AF146" s="115"/>
      <c r="AG146" s="115"/>
      <c r="AH146" s="115"/>
      <c r="AI146" s="115"/>
      <c r="AJ146" s="115"/>
      <c r="AK146" s="115"/>
      <c r="AL146" s="115"/>
    </row>
    <row r="147" spans="1:38">
      <c r="A147" s="13">
        <f t="shared" si="41"/>
        <v>140</v>
      </c>
      <c r="B147" s="123"/>
      <c r="C147" s="116"/>
      <c r="D147" s="116"/>
      <c r="E147" s="115"/>
      <c r="F147" s="116"/>
      <c r="G147" s="115"/>
      <c r="H147" s="117"/>
      <c r="I147" s="115"/>
      <c r="J147" s="115"/>
      <c r="K147" s="115"/>
      <c r="L147" s="115"/>
      <c r="M147" s="156">
        <f t="shared" si="36"/>
        <v>0</v>
      </c>
      <c r="N147" s="156"/>
      <c r="O147" s="156"/>
      <c r="P147" s="119">
        <f t="shared" si="37"/>
        <v>0</v>
      </c>
      <c r="Q147" s="115" t="e">
        <f t="shared" si="39"/>
        <v>#DIV/0!</v>
      </c>
      <c r="R147" s="160">
        <f t="shared" si="40"/>
        <v>0</v>
      </c>
      <c r="S147" s="160">
        <f t="shared" si="38"/>
        <v>0</v>
      </c>
      <c r="T147" s="120"/>
      <c r="U147" s="119"/>
      <c r="V147" s="115"/>
      <c r="W147" s="120"/>
      <c r="X147" s="120"/>
      <c r="Y147" s="158"/>
      <c r="Z147" s="160"/>
      <c r="AA147" s="160"/>
      <c r="AB147" s="160"/>
      <c r="AC147" s="160"/>
      <c r="AD147" s="119"/>
      <c r="AE147" s="115"/>
      <c r="AF147" s="115"/>
      <c r="AG147" s="115"/>
      <c r="AH147" s="115"/>
      <c r="AI147" s="115"/>
      <c r="AJ147" s="115"/>
      <c r="AK147" s="115"/>
      <c r="AL147" s="115"/>
    </row>
    <row r="148" spans="1:38">
      <c r="A148" s="13">
        <f t="shared" si="41"/>
        <v>141</v>
      </c>
      <c r="B148" s="123"/>
      <c r="C148" s="116"/>
      <c r="D148" s="116"/>
      <c r="E148" s="115"/>
      <c r="F148" s="116"/>
      <c r="G148" s="115"/>
      <c r="H148" s="117"/>
      <c r="I148" s="115"/>
      <c r="J148" s="115"/>
      <c r="K148" s="115"/>
      <c r="L148" s="115"/>
      <c r="M148" s="156">
        <f t="shared" si="36"/>
        <v>0</v>
      </c>
      <c r="N148" s="156"/>
      <c r="O148" s="156"/>
      <c r="P148" s="119">
        <f t="shared" si="37"/>
        <v>0</v>
      </c>
      <c r="Q148" s="115" t="e">
        <f t="shared" si="39"/>
        <v>#DIV/0!</v>
      </c>
      <c r="R148" s="160">
        <f t="shared" si="40"/>
        <v>0</v>
      </c>
      <c r="S148" s="160">
        <f t="shared" si="38"/>
        <v>0</v>
      </c>
      <c r="T148" s="120"/>
      <c r="U148" s="119"/>
      <c r="V148" s="115"/>
      <c r="W148" s="120"/>
      <c r="X148" s="120"/>
      <c r="Y148" s="158"/>
      <c r="Z148" s="160"/>
      <c r="AA148" s="160"/>
      <c r="AB148" s="160"/>
      <c r="AC148" s="160"/>
      <c r="AD148" s="119"/>
      <c r="AE148" s="115"/>
      <c r="AF148" s="115"/>
      <c r="AG148" s="115"/>
      <c r="AH148" s="115"/>
      <c r="AI148" s="115"/>
      <c r="AJ148" s="115"/>
      <c r="AK148" s="115"/>
      <c r="AL148" s="115"/>
    </row>
    <row r="149" spans="1:38">
      <c r="A149" s="13">
        <f t="shared" si="41"/>
        <v>142</v>
      </c>
      <c r="B149" s="123"/>
      <c r="C149" s="116"/>
      <c r="D149" s="116"/>
      <c r="E149" s="115"/>
      <c r="F149" s="116"/>
      <c r="G149" s="115"/>
      <c r="H149" s="117"/>
      <c r="I149" s="115"/>
      <c r="J149" s="115"/>
      <c r="K149" s="115"/>
      <c r="L149" s="115"/>
      <c r="M149" s="156">
        <f t="shared" si="36"/>
        <v>0</v>
      </c>
      <c r="N149" s="156"/>
      <c r="O149" s="156"/>
      <c r="P149" s="119">
        <f t="shared" si="37"/>
        <v>0</v>
      </c>
      <c r="Q149" s="115" t="e">
        <f t="shared" si="39"/>
        <v>#DIV/0!</v>
      </c>
      <c r="R149" s="160">
        <f t="shared" si="40"/>
        <v>0</v>
      </c>
      <c r="S149" s="160">
        <f t="shared" si="38"/>
        <v>0</v>
      </c>
      <c r="T149" s="120"/>
      <c r="U149" s="119"/>
      <c r="V149" s="115"/>
      <c r="W149" s="120"/>
      <c r="X149" s="120"/>
      <c r="Y149" s="158"/>
      <c r="Z149" s="160"/>
      <c r="AA149" s="160"/>
      <c r="AB149" s="160"/>
      <c r="AC149" s="160"/>
      <c r="AD149" s="119"/>
      <c r="AE149" s="115"/>
      <c r="AF149" s="115"/>
      <c r="AG149" s="115"/>
      <c r="AH149" s="115"/>
      <c r="AI149" s="115"/>
      <c r="AJ149" s="115"/>
      <c r="AK149" s="115"/>
      <c r="AL149" s="115"/>
    </row>
    <row r="150" spans="1:38">
      <c r="A150" s="13">
        <f t="shared" si="41"/>
        <v>143</v>
      </c>
      <c r="B150" s="123"/>
      <c r="C150" s="116"/>
      <c r="D150" s="116"/>
      <c r="E150" s="115"/>
      <c r="F150" s="116"/>
      <c r="G150" s="115"/>
      <c r="H150" s="117"/>
      <c r="I150" s="115"/>
      <c r="J150" s="115"/>
      <c r="K150" s="115"/>
      <c r="L150" s="115"/>
      <c r="M150" s="156">
        <f t="shared" si="36"/>
        <v>0</v>
      </c>
      <c r="N150" s="156"/>
      <c r="O150" s="156"/>
      <c r="P150" s="119">
        <f t="shared" si="37"/>
        <v>0</v>
      </c>
      <c r="Q150" s="115" t="e">
        <f t="shared" si="39"/>
        <v>#DIV/0!</v>
      </c>
      <c r="R150" s="160">
        <f t="shared" si="40"/>
        <v>0</v>
      </c>
      <c r="S150" s="160">
        <f t="shared" si="38"/>
        <v>0</v>
      </c>
      <c r="T150" s="120"/>
      <c r="U150" s="119"/>
      <c r="V150" s="115"/>
      <c r="W150" s="120"/>
      <c r="X150" s="120"/>
      <c r="Y150" s="158"/>
      <c r="Z150" s="160"/>
      <c r="AA150" s="160"/>
      <c r="AB150" s="160"/>
      <c r="AC150" s="160"/>
      <c r="AD150" s="119"/>
      <c r="AE150" s="115"/>
      <c r="AF150" s="115"/>
      <c r="AG150" s="115"/>
      <c r="AH150" s="115"/>
      <c r="AI150" s="115"/>
      <c r="AJ150" s="115"/>
      <c r="AK150" s="115"/>
      <c r="AL150" s="115"/>
    </row>
    <row r="151" spans="1:38">
      <c r="A151" s="13">
        <f t="shared" si="41"/>
        <v>144</v>
      </c>
      <c r="B151" s="123"/>
      <c r="C151" s="116"/>
      <c r="D151" s="116"/>
      <c r="E151" s="115"/>
      <c r="F151" s="116"/>
      <c r="G151" s="115"/>
      <c r="H151" s="117"/>
      <c r="I151" s="115"/>
      <c r="J151" s="115"/>
      <c r="K151" s="115"/>
      <c r="L151" s="115"/>
      <c r="M151" s="156">
        <f t="shared" si="36"/>
        <v>0</v>
      </c>
      <c r="N151" s="156"/>
      <c r="O151" s="156"/>
      <c r="P151" s="119">
        <f t="shared" si="37"/>
        <v>0</v>
      </c>
      <c r="Q151" s="115" t="e">
        <f t="shared" si="39"/>
        <v>#DIV/0!</v>
      </c>
      <c r="R151" s="160">
        <f t="shared" si="40"/>
        <v>0</v>
      </c>
      <c r="S151" s="160">
        <f t="shared" si="38"/>
        <v>0</v>
      </c>
      <c r="T151" s="120"/>
      <c r="U151" s="119"/>
      <c r="V151" s="115"/>
      <c r="W151" s="120"/>
      <c r="X151" s="120"/>
      <c r="Y151" s="158"/>
      <c r="Z151" s="160"/>
      <c r="AA151" s="160"/>
      <c r="AB151" s="160"/>
      <c r="AC151" s="160"/>
      <c r="AD151" s="119"/>
      <c r="AE151" s="115"/>
      <c r="AF151" s="115"/>
      <c r="AG151" s="115"/>
      <c r="AH151" s="115"/>
      <c r="AI151" s="115"/>
      <c r="AJ151" s="115"/>
      <c r="AK151" s="115"/>
      <c r="AL151" s="115"/>
    </row>
    <row r="152" spans="1:38">
      <c r="A152" s="13">
        <f t="shared" si="41"/>
        <v>145</v>
      </c>
      <c r="B152" s="123"/>
      <c r="C152" s="116"/>
      <c r="D152" s="116"/>
      <c r="E152" s="115"/>
      <c r="F152" s="116"/>
      <c r="G152" s="115"/>
      <c r="H152" s="117"/>
      <c r="I152" s="115"/>
      <c r="J152" s="115"/>
      <c r="K152" s="115"/>
      <c r="L152" s="115"/>
      <c r="M152" s="156">
        <f t="shared" si="36"/>
        <v>0</v>
      </c>
      <c r="N152" s="156"/>
      <c r="O152" s="156"/>
      <c r="P152" s="119">
        <f t="shared" si="37"/>
        <v>0</v>
      </c>
      <c r="Q152" s="115" t="e">
        <f t="shared" si="39"/>
        <v>#DIV/0!</v>
      </c>
      <c r="R152" s="160">
        <f t="shared" si="40"/>
        <v>0</v>
      </c>
      <c r="S152" s="160">
        <f t="shared" si="38"/>
        <v>0</v>
      </c>
      <c r="T152" s="120"/>
      <c r="U152" s="119"/>
      <c r="V152" s="115"/>
      <c r="W152" s="120"/>
      <c r="X152" s="120"/>
      <c r="Y152" s="158"/>
      <c r="Z152" s="160"/>
      <c r="AA152" s="160"/>
      <c r="AB152" s="160"/>
      <c r="AC152" s="160"/>
      <c r="AD152" s="119"/>
      <c r="AE152" s="115"/>
      <c r="AF152" s="115"/>
      <c r="AG152" s="115"/>
      <c r="AH152" s="115"/>
      <c r="AI152" s="115"/>
      <c r="AJ152" s="115"/>
      <c r="AK152" s="115"/>
      <c r="AL152" s="115"/>
    </row>
    <row r="153" spans="1:38">
      <c r="A153" s="13">
        <f t="shared" si="41"/>
        <v>146</v>
      </c>
      <c r="B153" s="123"/>
      <c r="C153" s="116"/>
      <c r="D153" s="116"/>
      <c r="E153" s="115"/>
      <c r="F153" s="116"/>
      <c r="G153" s="115"/>
      <c r="H153" s="117"/>
      <c r="I153" s="115"/>
      <c r="J153" s="115"/>
      <c r="K153" s="115"/>
      <c r="L153" s="115"/>
      <c r="M153" s="156">
        <f t="shared" si="36"/>
        <v>0</v>
      </c>
      <c r="N153" s="156"/>
      <c r="O153" s="156"/>
      <c r="P153" s="119">
        <f t="shared" si="37"/>
        <v>0</v>
      </c>
      <c r="Q153" s="115" t="e">
        <f t="shared" si="39"/>
        <v>#DIV/0!</v>
      </c>
      <c r="R153" s="160">
        <f t="shared" si="40"/>
        <v>0</v>
      </c>
      <c r="S153" s="160">
        <f t="shared" si="38"/>
        <v>0</v>
      </c>
      <c r="T153" s="120"/>
      <c r="U153" s="119"/>
      <c r="V153" s="115"/>
      <c r="W153" s="120"/>
      <c r="X153" s="120"/>
      <c r="Y153" s="158"/>
      <c r="Z153" s="160"/>
      <c r="AA153" s="160"/>
      <c r="AB153" s="160"/>
      <c r="AC153" s="160"/>
      <c r="AD153" s="119"/>
      <c r="AE153" s="115"/>
      <c r="AF153" s="115"/>
      <c r="AG153" s="115"/>
      <c r="AH153" s="115"/>
      <c r="AI153" s="115"/>
      <c r="AJ153" s="115"/>
      <c r="AK153" s="115"/>
      <c r="AL153" s="115"/>
    </row>
    <row r="154" spans="1:38">
      <c r="A154" s="13">
        <f t="shared" si="41"/>
        <v>147</v>
      </c>
      <c r="B154" s="123"/>
      <c r="C154" s="116"/>
      <c r="D154" s="116"/>
      <c r="E154" s="115"/>
      <c r="F154" s="116"/>
      <c r="G154" s="115"/>
      <c r="H154" s="117"/>
      <c r="I154" s="115"/>
      <c r="J154" s="115"/>
      <c r="K154" s="115"/>
      <c r="L154" s="115"/>
      <c r="M154" s="156">
        <f t="shared" si="36"/>
        <v>0</v>
      </c>
      <c r="N154" s="156"/>
      <c r="O154" s="156"/>
      <c r="P154" s="119">
        <f t="shared" si="37"/>
        <v>0</v>
      </c>
      <c r="Q154" s="115" t="e">
        <f t="shared" si="39"/>
        <v>#DIV/0!</v>
      </c>
      <c r="R154" s="160">
        <f t="shared" si="40"/>
        <v>0</v>
      </c>
      <c r="S154" s="160">
        <f t="shared" si="38"/>
        <v>0</v>
      </c>
      <c r="T154" s="120"/>
      <c r="U154" s="119"/>
      <c r="V154" s="115"/>
      <c r="W154" s="120"/>
      <c r="X154" s="120"/>
      <c r="Y154" s="158"/>
      <c r="Z154" s="160"/>
      <c r="AA154" s="160"/>
      <c r="AB154" s="160"/>
      <c r="AC154" s="160"/>
      <c r="AD154" s="119"/>
      <c r="AE154" s="115"/>
      <c r="AF154" s="115"/>
      <c r="AG154" s="115"/>
      <c r="AH154" s="115"/>
      <c r="AI154" s="115"/>
      <c r="AJ154" s="115"/>
      <c r="AK154" s="115"/>
      <c r="AL154" s="115"/>
    </row>
    <row r="155" spans="1:38">
      <c r="A155" s="13">
        <f t="shared" si="41"/>
        <v>148</v>
      </c>
      <c r="B155" s="123"/>
      <c r="C155" s="116"/>
      <c r="D155" s="116"/>
      <c r="E155" s="115"/>
      <c r="F155" s="116"/>
      <c r="G155" s="115"/>
      <c r="H155" s="117"/>
      <c r="I155" s="115"/>
      <c r="J155" s="115"/>
      <c r="K155" s="115"/>
      <c r="L155" s="115"/>
      <c r="M155" s="156">
        <f t="shared" si="36"/>
        <v>0</v>
      </c>
      <c r="N155" s="156"/>
      <c r="O155" s="156"/>
      <c r="P155" s="119">
        <f t="shared" si="37"/>
        <v>0</v>
      </c>
      <c r="Q155" s="115" t="e">
        <f t="shared" si="39"/>
        <v>#DIV/0!</v>
      </c>
      <c r="R155" s="160">
        <f t="shared" si="40"/>
        <v>0</v>
      </c>
      <c r="S155" s="160">
        <f t="shared" si="38"/>
        <v>0</v>
      </c>
      <c r="T155" s="120"/>
      <c r="U155" s="119"/>
      <c r="V155" s="115"/>
      <c r="W155" s="120"/>
      <c r="X155" s="120"/>
      <c r="Y155" s="158"/>
      <c r="Z155" s="160"/>
      <c r="AA155" s="160"/>
      <c r="AB155" s="160"/>
      <c r="AC155" s="160"/>
      <c r="AD155" s="119"/>
      <c r="AE155" s="115"/>
      <c r="AF155" s="115"/>
      <c r="AG155" s="115"/>
      <c r="AH155" s="115"/>
      <c r="AI155" s="115"/>
      <c r="AJ155" s="115"/>
      <c r="AK155" s="115"/>
      <c r="AL155" s="115"/>
    </row>
    <row r="156" spans="1:38">
      <c r="A156" s="13">
        <f t="shared" si="41"/>
        <v>149</v>
      </c>
      <c r="B156" s="123"/>
      <c r="C156" s="116"/>
      <c r="D156" s="116"/>
      <c r="E156" s="115"/>
      <c r="F156" s="116"/>
      <c r="G156" s="115"/>
      <c r="H156" s="117"/>
      <c r="I156" s="115"/>
      <c r="J156" s="115"/>
      <c r="K156" s="115"/>
      <c r="L156" s="115"/>
      <c r="M156" s="156">
        <f t="shared" si="36"/>
        <v>0</v>
      </c>
      <c r="N156" s="156"/>
      <c r="O156" s="156"/>
      <c r="P156" s="119">
        <f t="shared" si="37"/>
        <v>0</v>
      </c>
      <c r="Q156" s="115" t="e">
        <f t="shared" si="39"/>
        <v>#DIV/0!</v>
      </c>
      <c r="R156" s="160">
        <f t="shared" si="40"/>
        <v>0</v>
      </c>
      <c r="S156" s="160">
        <f t="shared" si="38"/>
        <v>0</v>
      </c>
      <c r="T156" s="120"/>
      <c r="U156" s="119"/>
      <c r="V156" s="115"/>
      <c r="W156" s="120"/>
      <c r="X156" s="120"/>
      <c r="Y156" s="158"/>
      <c r="Z156" s="160"/>
      <c r="AA156" s="160"/>
      <c r="AB156" s="160"/>
      <c r="AC156" s="160"/>
      <c r="AD156" s="119"/>
      <c r="AE156" s="115"/>
      <c r="AF156" s="115"/>
      <c r="AG156" s="115"/>
      <c r="AH156" s="115"/>
      <c r="AI156" s="115"/>
      <c r="AJ156" s="115"/>
      <c r="AK156" s="115"/>
      <c r="AL156" s="115"/>
    </row>
    <row r="157" spans="1:38">
      <c r="A157" s="13">
        <f t="shared" si="41"/>
        <v>150</v>
      </c>
      <c r="B157" s="123"/>
      <c r="C157" s="116"/>
      <c r="D157" s="116"/>
      <c r="E157" s="115"/>
      <c r="F157" s="116"/>
      <c r="G157" s="115"/>
      <c r="H157" s="117"/>
      <c r="I157" s="115"/>
      <c r="J157" s="115"/>
      <c r="K157" s="115"/>
      <c r="L157" s="115"/>
      <c r="M157" s="156">
        <f t="shared" si="36"/>
        <v>0</v>
      </c>
      <c r="N157" s="156"/>
      <c r="O157" s="156"/>
      <c r="P157" s="119">
        <f t="shared" si="37"/>
        <v>0</v>
      </c>
      <c r="Q157" s="115" t="e">
        <f t="shared" si="39"/>
        <v>#DIV/0!</v>
      </c>
      <c r="R157" s="160">
        <f t="shared" si="40"/>
        <v>0</v>
      </c>
      <c r="S157" s="160">
        <f t="shared" si="38"/>
        <v>0</v>
      </c>
      <c r="T157" s="120"/>
      <c r="U157" s="119"/>
      <c r="V157" s="115"/>
      <c r="W157" s="120"/>
      <c r="X157" s="120"/>
      <c r="Y157" s="158"/>
      <c r="Z157" s="160"/>
      <c r="AA157" s="160"/>
      <c r="AB157" s="160"/>
      <c r="AC157" s="160"/>
      <c r="AD157" s="119"/>
      <c r="AE157" s="115"/>
      <c r="AF157" s="115"/>
      <c r="AG157" s="115"/>
      <c r="AH157" s="115"/>
      <c r="AI157" s="115"/>
      <c r="AJ157" s="115"/>
      <c r="AK157" s="115"/>
      <c r="AL157" s="115"/>
    </row>
    <row r="158" spans="1:38">
      <c r="A158" s="13">
        <f t="shared" si="41"/>
        <v>151</v>
      </c>
      <c r="B158" s="123"/>
      <c r="C158" s="116"/>
      <c r="D158" s="116"/>
      <c r="E158" s="115"/>
      <c r="F158" s="116"/>
      <c r="G158" s="115"/>
      <c r="H158" s="117"/>
      <c r="I158" s="115"/>
      <c r="J158" s="115"/>
      <c r="K158" s="115"/>
      <c r="L158" s="115"/>
      <c r="M158" s="156">
        <f t="shared" si="36"/>
        <v>0</v>
      </c>
      <c r="N158" s="156"/>
      <c r="O158" s="156"/>
      <c r="P158" s="119">
        <f t="shared" si="37"/>
        <v>0</v>
      </c>
      <c r="Q158" s="115" t="e">
        <f t="shared" si="39"/>
        <v>#DIV/0!</v>
      </c>
      <c r="R158" s="160">
        <f t="shared" si="40"/>
        <v>0</v>
      </c>
      <c r="S158" s="160">
        <f t="shared" si="38"/>
        <v>0</v>
      </c>
      <c r="T158" s="120"/>
      <c r="U158" s="119"/>
      <c r="V158" s="115"/>
      <c r="W158" s="120"/>
      <c r="X158" s="120"/>
      <c r="Y158" s="158"/>
      <c r="Z158" s="160"/>
      <c r="AA158" s="160"/>
      <c r="AB158" s="160"/>
      <c r="AC158" s="160"/>
      <c r="AD158" s="119"/>
      <c r="AE158" s="115"/>
      <c r="AF158" s="115"/>
      <c r="AG158" s="115"/>
      <c r="AH158" s="115"/>
      <c r="AI158" s="115"/>
      <c r="AJ158" s="115"/>
      <c r="AK158" s="115"/>
      <c r="AL158" s="115"/>
    </row>
    <row r="159" spans="1:38">
      <c r="A159" s="13">
        <f t="shared" si="41"/>
        <v>152</v>
      </c>
      <c r="B159" s="123"/>
      <c r="C159" s="116"/>
      <c r="D159" s="116"/>
      <c r="E159" s="115"/>
      <c r="F159" s="116"/>
      <c r="G159" s="115"/>
      <c r="H159" s="117"/>
      <c r="I159" s="115"/>
      <c r="J159" s="115"/>
      <c r="K159" s="115"/>
      <c r="L159" s="115"/>
      <c r="M159" s="156">
        <f t="shared" si="36"/>
        <v>0</v>
      </c>
      <c r="N159" s="156"/>
      <c r="O159" s="156"/>
      <c r="P159" s="119">
        <f t="shared" si="37"/>
        <v>0</v>
      </c>
      <c r="Q159" s="115" t="e">
        <f t="shared" si="39"/>
        <v>#DIV/0!</v>
      </c>
      <c r="R159" s="160">
        <f t="shared" si="40"/>
        <v>0</v>
      </c>
      <c r="S159" s="160">
        <f t="shared" si="38"/>
        <v>0</v>
      </c>
      <c r="T159" s="120"/>
      <c r="U159" s="119"/>
      <c r="V159" s="115"/>
      <c r="W159" s="120"/>
      <c r="X159" s="120"/>
      <c r="Y159" s="158"/>
      <c r="Z159" s="160"/>
      <c r="AA159" s="160"/>
      <c r="AB159" s="160"/>
      <c r="AC159" s="160"/>
      <c r="AD159" s="119"/>
      <c r="AE159" s="115"/>
      <c r="AF159" s="115"/>
      <c r="AG159" s="115"/>
      <c r="AH159" s="115"/>
      <c r="AI159" s="115"/>
      <c r="AJ159" s="115"/>
      <c r="AK159" s="115"/>
      <c r="AL159" s="115"/>
    </row>
    <row r="160" spans="1:38">
      <c r="A160" s="13">
        <f t="shared" si="41"/>
        <v>153</v>
      </c>
      <c r="B160" s="123"/>
      <c r="C160" s="116"/>
      <c r="D160" s="116"/>
      <c r="E160" s="115"/>
      <c r="F160" s="116"/>
      <c r="G160" s="115"/>
      <c r="H160" s="117"/>
      <c r="I160" s="115"/>
      <c r="J160" s="115"/>
      <c r="K160" s="115"/>
      <c r="L160" s="115"/>
      <c r="M160" s="156">
        <f t="shared" si="36"/>
        <v>0</v>
      </c>
      <c r="N160" s="156"/>
      <c r="O160" s="156"/>
      <c r="P160" s="119">
        <f t="shared" si="37"/>
        <v>0</v>
      </c>
      <c r="Q160" s="115" t="e">
        <f t="shared" si="39"/>
        <v>#DIV/0!</v>
      </c>
      <c r="R160" s="160">
        <f t="shared" si="40"/>
        <v>0</v>
      </c>
      <c r="S160" s="160">
        <f t="shared" si="38"/>
        <v>0</v>
      </c>
      <c r="T160" s="120"/>
      <c r="U160" s="119"/>
      <c r="V160" s="115"/>
      <c r="W160" s="120"/>
      <c r="X160" s="120"/>
      <c r="Y160" s="158"/>
      <c r="Z160" s="160"/>
      <c r="AA160" s="160"/>
      <c r="AB160" s="160"/>
      <c r="AC160" s="160"/>
      <c r="AD160" s="119"/>
      <c r="AE160" s="115"/>
      <c r="AF160" s="115"/>
      <c r="AG160" s="115"/>
      <c r="AH160" s="115"/>
      <c r="AI160" s="115"/>
      <c r="AJ160" s="115"/>
      <c r="AK160" s="115"/>
      <c r="AL160" s="115"/>
    </row>
    <row r="161" spans="1:38">
      <c r="A161" s="13">
        <f t="shared" si="41"/>
        <v>154</v>
      </c>
      <c r="B161" s="123"/>
      <c r="C161" s="116"/>
      <c r="D161" s="116"/>
      <c r="E161" s="115"/>
      <c r="F161" s="116"/>
      <c r="G161" s="115"/>
      <c r="H161" s="117"/>
      <c r="I161" s="115"/>
      <c r="J161" s="115"/>
      <c r="K161" s="115"/>
      <c r="L161" s="115"/>
      <c r="M161" s="156">
        <f t="shared" si="36"/>
        <v>0</v>
      </c>
      <c r="N161" s="156"/>
      <c r="O161" s="156"/>
      <c r="P161" s="119">
        <f t="shared" si="37"/>
        <v>0</v>
      </c>
      <c r="Q161" s="115" t="e">
        <f t="shared" si="39"/>
        <v>#DIV/0!</v>
      </c>
      <c r="R161" s="160">
        <f t="shared" si="40"/>
        <v>0</v>
      </c>
      <c r="S161" s="160">
        <f t="shared" si="38"/>
        <v>0</v>
      </c>
      <c r="T161" s="120"/>
      <c r="U161" s="119"/>
      <c r="V161" s="115"/>
      <c r="W161" s="120"/>
      <c r="X161" s="120"/>
      <c r="Y161" s="158"/>
      <c r="Z161" s="160"/>
      <c r="AA161" s="160"/>
      <c r="AB161" s="160"/>
      <c r="AC161" s="160"/>
      <c r="AD161" s="119"/>
      <c r="AE161" s="115"/>
      <c r="AF161" s="115"/>
      <c r="AG161" s="115"/>
      <c r="AH161" s="115"/>
      <c r="AI161" s="115"/>
      <c r="AJ161" s="115"/>
      <c r="AK161" s="115"/>
      <c r="AL161" s="115"/>
    </row>
    <row r="162" spans="1:38">
      <c r="A162" s="13">
        <f t="shared" si="41"/>
        <v>155</v>
      </c>
      <c r="B162" s="123"/>
      <c r="C162" s="116"/>
      <c r="D162" s="116"/>
      <c r="E162" s="115"/>
      <c r="F162" s="116"/>
      <c r="G162" s="115"/>
      <c r="H162" s="117"/>
      <c r="I162" s="115"/>
      <c r="J162" s="115"/>
      <c r="K162" s="115"/>
      <c r="L162" s="115"/>
      <c r="M162" s="156">
        <f t="shared" si="36"/>
        <v>0</v>
      </c>
      <c r="N162" s="156"/>
      <c r="O162" s="156"/>
      <c r="P162" s="119">
        <f t="shared" si="37"/>
        <v>0</v>
      </c>
      <c r="Q162" s="115" t="e">
        <f t="shared" si="39"/>
        <v>#DIV/0!</v>
      </c>
      <c r="R162" s="160">
        <f t="shared" si="40"/>
        <v>0</v>
      </c>
      <c r="S162" s="160">
        <f t="shared" si="38"/>
        <v>0</v>
      </c>
      <c r="T162" s="120"/>
      <c r="U162" s="119"/>
      <c r="V162" s="115"/>
      <c r="W162" s="120"/>
      <c r="X162" s="120"/>
      <c r="Y162" s="158"/>
      <c r="Z162" s="160"/>
      <c r="AA162" s="160"/>
      <c r="AB162" s="160"/>
      <c r="AC162" s="160"/>
      <c r="AD162" s="119"/>
      <c r="AE162" s="115"/>
      <c r="AF162" s="115"/>
      <c r="AG162" s="115"/>
      <c r="AH162" s="115"/>
      <c r="AI162" s="115"/>
      <c r="AJ162" s="115"/>
      <c r="AK162" s="115"/>
      <c r="AL162" s="115"/>
    </row>
    <row r="163" spans="1:38">
      <c r="A163" s="13">
        <f t="shared" si="41"/>
        <v>156</v>
      </c>
      <c r="B163" s="123"/>
      <c r="C163" s="116"/>
      <c r="D163" s="116"/>
      <c r="E163" s="115"/>
      <c r="F163" s="116"/>
      <c r="G163" s="115"/>
      <c r="H163" s="117"/>
      <c r="I163" s="115"/>
      <c r="J163" s="115"/>
      <c r="K163" s="115"/>
      <c r="L163" s="115"/>
      <c r="M163" s="156">
        <f t="shared" si="36"/>
        <v>0</v>
      </c>
      <c r="N163" s="156"/>
      <c r="O163" s="156"/>
      <c r="P163" s="119">
        <f t="shared" si="37"/>
        <v>0</v>
      </c>
      <c r="Q163" s="115" t="e">
        <f t="shared" si="39"/>
        <v>#DIV/0!</v>
      </c>
      <c r="R163" s="160">
        <f t="shared" si="40"/>
        <v>0</v>
      </c>
      <c r="S163" s="160">
        <f t="shared" si="38"/>
        <v>0</v>
      </c>
      <c r="T163" s="120"/>
      <c r="U163" s="119"/>
      <c r="V163" s="115"/>
      <c r="W163" s="120"/>
      <c r="X163" s="120"/>
      <c r="Y163" s="158"/>
      <c r="Z163" s="160"/>
      <c r="AA163" s="160"/>
      <c r="AB163" s="160"/>
      <c r="AC163" s="160"/>
      <c r="AD163" s="119"/>
      <c r="AE163" s="115"/>
      <c r="AF163" s="115"/>
      <c r="AG163" s="115"/>
      <c r="AH163" s="115"/>
      <c r="AI163" s="115"/>
      <c r="AJ163" s="115"/>
      <c r="AK163" s="115"/>
      <c r="AL163" s="115"/>
    </row>
    <row r="164" spans="1:38">
      <c r="A164" s="13">
        <f t="shared" si="41"/>
        <v>157</v>
      </c>
      <c r="B164" s="123"/>
      <c r="C164" s="116"/>
      <c r="D164" s="116"/>
      <c r="E164" s="115"/>
      <c r="F164" s="116"/>
      <c r="G164" s="115"/>
      <c r="H164" s="117"/>
      <c r="I164" s="115"/>
      <c r="J164" s="115"/>
      <c r="K164" s="115"/>
      <c r="L164" s="115"/>
      <c r="M164" s="156">
        <f t="shared" si="36"/>
        <v>0</v>
      </c>
      <c r="N164" s="156"/>
      <c r="O164" s="156"/>
      <c r="P164" s="119">
        <f t="shared" si="37"/>
        <v>0</v>
      </c>
      <c r="Q164" s="115" t="e">
        <f t="shared" si="39"/>
        <v>#DIV/0!</v>
      </c>
      <c r="R164" s="160">
        <f t="shared" si="40"/>
        <v>0</v>
      </c>
      <c r="S164" s="160">
        <f t="shared" si="38"/>
        <v>0</v>
      </c>
      <c r="T164" s="120"/>
      <c r="U164" s="119"/>
      <c r="V164" s="115"/>
      <c r="W164" s="120"/>
      <c r="X164" s="120"/>
      <c r="Y164" s="158"/>
      <c r="Z164" s="160"/>
      <c r="AA164" s="160"/>
      <c r="AB164" s="160"/>
      <c r="AC164" s="160"/>
      <c r="AD164" s="119"/>
      <c r="AE164" s="115"/>
      <c r="AF164" s="115"/>
      <c r="AG164" s="115"/>
      <c r="AH164" s="115"/>
      <c r="AI164" s="115"/>
      <c r="AJ164" s="115"/>
      <c r="AK164" s="115"/>
      <c r="AL164" s="115"/>
    </row>
    <row r="165" spans="1:38">
      <c r="A165" s="13">
        <f t="shared" si="41"/>
        <v>158</v>
      </c>
      <c r="B165" s="123"/>
      <c r="C165" s="116"/>
      <c r="D165" s="116"/>
      <c r="E165" s="115"/>
      <c r="F165" s="116"/>
      <c r="G165" s="115"/>
      <c r="H165" s="117"/>
      <c r="I165" s="115"/>
      <c r="J165" s="115"/>
      <c r="K165" s="115"/>
      <c r="L165" s="115"/>
      <c r="M165" s="156">
        <f t="shared" si="36"/>
        <v>0</v>
      </c>
      <c r="N165" s="156"/>
      <c r="O165" s="156"/>
      <c r="P165" s="119">
        <f t="shared" si="37"/>
        <v>0</v>
      </c>
      <c r="Q165" s="115" t="e">
        <f t="shared" si="39"/>
        <v>#DIV/0!</v>
      </c>
      <c r="R165" s="160">
        <f t="shared" si="40"/>
        <v>0</v>
      </c>
      <c r="S165" s="160">
        <f t="shared" si="38"/>
        <v>0</v>
      </c>
      <c r="T165" s="120"/>
      <c r="U165" s="119"/>
      <c r="V165" s="115"/>
      <c r="W165" s="120"/>
      <c r="X165" s="120"/>
      <c r="Y165" s="158"/>
      <c r="Z165" s="160"/>
      <c r="AA165" s="160"/>
      <c r="AB165" s="160"/>
      <c r="AC165" s="160"/>
      <c r="AD165" s="119"/>
      <c r="AE165" s="115"/>
      <c r="AF165" s="115"/>
      <c r="AG165" s="115"/>
      <c r="AH165" s="115"/>
      <c r="AI165" s="115"/>
      <c r="AJ165" s="115"/>
      <c r="AK165" s="115"/>
      <c r="AL165" s="115"/>
    </row>
    <row r="166" spans="1:38">
      <c r="A166" s="13">
        <f t="shared" si="41"/>
        <v>159</v>
      </c>
      <c r="B166" s="123"/>
      <c r="C166" s="116"/>
      <c r="D166" s="116"/>
      <c r="E166" s="115"/>
      <c r="F166" s="116"/>
      <c r="G166" s="115"/>
      <c r="H166" s="117"/>
      <c r="I166" s="115"/>
      <c r="J166" s="115"/>
      <c r="K166" s="115"/>
      <c r="L166" s="115"/>
      <c r="M166" s="156">
        <f t="shared" si="36"/>
        <v>0</v>
      </c>
      <c r="N166" s="156"/>
      <c r="O166" s="156"/>
      <c r="P166" s="119">
        <f t="shared" si="37"/>
        <v>0</v>
      </c>
      <c r="Q166" s="115" t="e">
        <f t="shared" si="39"/>
        <v>#DIV/0!</v>
      </c>
      <c r="R166" s="160">
        <f t="shared" si="40"/>
        <v>0</v>
      </c>
      <c r="S166" s="160">
        <f t="shared" si="38"/>
        <v>0</v>
      </c>
      <c r="T166" s="120"/>
      <c r="U166" s="119"/>
      <c r="V166" s="115"/>
      <c r="W166" s="120"/>
      <c r="X166" s="120"/>
      <c r="Y166" s="158"/>
      <c r="Z166" s="160"/>
      <c r="AA166" s="160"/>
      <c r="AB166" s="160"/>
      <c r="AC166" s="160"/>
      <c r="AD166" s="119"/>
      <c r="AE166" s="115"/>
      <c r="AF166" s="115"/>
      <c r="AG166" s="115"/>
      <c r="AH166" s="115"/>
      <c r="AI166" s="115"/>
      <c r="AJ166" s="115"/>
      <c r="AK166" s="115"/>
      <c r="AL166" s="115"/>
    </row>
    <row r="167" spans="1:38">
      <c r="A167" s="13">
        <f t="shared" si="41"/>
        <v>160</v>
      </c>
      <c r="B167" s="123"/>
      <c r="C167" s="116"/>
      <c r="D167" s="116"/>
      <c r="E167" s="115"/>
      <c r="F167" s="116"/>
      <c r="G167" s="115"/>
      <c r="H167" s="117"/>
      <c r="I167" s="115"/>
      <c r="J167" s="115"/>
      <c r="K167" s="115"/>
      <c r="L167" s="115"/>
      <c r="M167" s="156">
        <f t="shared" si="36"/>
        <v>0</v>
      </c>
      <c r="N167" s="156"/>
      <c r="O167" s="156"/>
      <c r="P167" s="119">
        <f t="shared" si="37"/>
        <v>0</v>
      </c>
      <c r="Q167" s="115" t="e">
        <f t="shared" si="39"/>
        <v>#DIV/0!</v>
      </c>
      <c r="R167" s="160">
        <f t="shared" si="40"/>
        <v>0</v>
      </c>
      <c r="S167" s="160">
        <f t="shared" si="38"/>
        <v>0</v>
      </c>
      <c r="T167" s="120"/>
      <c r="U167" s="119"/>
      <c r="V167" s="115"/>
      <c r="W167" s="120"/>
      <c r="X167" s="120"/>
      <c r="Y167" s="158"/>
      <c r="Z167" s="160"/>
      <c r="AA167" s="160"/>
      <c r="AB167" s="160"/>
      <c r="AC167" s="160"/>
      <c r="AD167" s="119"/>
      <c r="AE167" s="115"/>
      <c r="AF167" s="115"/>
      <c r="AG167" s="115"/>
      <c r="AH167" s="115"/>
      <c r="AI167" s="115"/>
      <c r="AJ167" s="115"/>
      <c r="AK167" s="115"/>
      <c r="AL167" s="115"/>
    </row>
    <row r="168" spans="1:38">
      <c r="A168" s="13">
        <f t="shared" si="41"/>
        <v>161</v>
      </c>
      <c r="B168" s="123"/>
      <c r="C168" s="116"/>
      <c r="D168" s="116"/>
      <c r="E168" s="115"/>
      <c r="F168" s="116"/>
      <c r="G168" s="115"/>
      <c r="H168" s="117"/>
      <c r="I168" s="115"/>
      <c r="J168" s="115"/>
      <c r="K168" s="115"/>
      <c r="L168" s="115"/>
      <c r="M168" s="156">
        <f t="shared" si="36"/>
        <v>0</v>
      </c>
      <c r="N168" s="156"/>
      <c r="O168" s="156"/>
      <c r="P168" s="119">
        <f t="shared" si="37"/>
        <v>0</v>
      </c>
      <c r="Q168" s="115" t="e">
        <f t="shared" si="39"/>
        <v>#DIV/0!</v>
      </c>
      <c r="R168" s="160">
        <f t="shared" si="40"/>
        <v>0</v>
      </c>
      <c r="S168" s="160">
        <f t="shared" si="38"/>
        <v>0</v>
      </c>
      <c r="T168" s="120"/>
      <c r="U168" s="119"/>
      <c r="V168" s="115"/>
      <c r="W168" s="120"/>
      <c r="X168" s="120"/>
      <c r="Y168" s="158"/>
      <c r="Z168" s="160"/>
      <c r="AA168" s="160"/>
      <c r="AB168" s="160"/>
      <c r="AC168" s="160"/>
      <c r="AD168" s="119"/>
      <c r="AE168" s="115"/>
      <c r="AF168" s="115"/>
      <c r="AG168" s="115"/>
      <c r="AH168" s="115"/>
      <c r="AI168" s="115"/>
      <c r="AJ168" s="115"/>
      <c r="AK168" s="115"/>
      <c r="AL168" s="115"/>
    </row>
    <row r="169" spans="1:38">
      <c r="A169" s="13">
        <f t="shared" si="41"/>
        <v>162</v>
      </c>
      <c r="B169" s="123"/>
      <c r="C169" s="116"/>
      <c r="D169" s="116"/>
      <c r="E169" s="115"/>
      <c r="F169" s="116"/>
      <c r="G169" s="115"/>
      <c r="H169" s="117"/>
      <c r="I169" s="115"/>
      <c r="J169" s="115"/>
      <c r="K169" s="115"/>
      <c r="L169" s="115"/>
      <c r="M169" s="156">
        <f t="shared" si="36"/>
        <v>0</v>
      </c>
      <c r="N169" s="156"/>
      <c r="O169" s="156"/>
      <c r="P169" s="119">
        <f t="shared" si="37"/>
        <v>0</v>
      </c>
      <c r="Q169" s="115" t="e">
        <f t="shared" si="39"/>
        <v>#DIV/0!</v>
      </c>
      <c r="R169" s="160">
        <f t="shared" si="40"/>
        <v>0</v>
      </c>
      <c r="S169" s="160">
        <f t="shared" si="38"/>
        <v>0</v>
      </c>
      <c r="T169" s="120"/>
      <c r="U169" s="119"/>
      <c r="V169" s="115"/>
      <c r="W169" s="120"/>
      <c r="X169" s="120"/>
      <c r="Y169" s="158"/>
      <c r="Z169" s="160"/>
      <c r="AA169" s="160"/>
      <c r="AB169" s="160"/>
      <c r="AC169" s="160"/>
      <c r="AD169" s="119"/>
      <c r="AE169" s="115"/>
      <c r="AF169" s="115"/>
      <c r="AG169" s="115"/>
      <c r="AH169" s="115"/>
      <c r="AI169" s="115"/>
      <c r="AJ169" s="115"/>
      <c r="AK169" s="115"/>
      <c r="AL169" s="115"/>
    </row>
    <row r="170" spans="1:38">
      <c r="A170" s="13">
        <f t="shared" si="41"/>
        <v>163</v>
      </c>
      <c r="B170" s="123"/>
      <c r="C170" s="116"/>
      <c r="D170" s="116"/>
      <c r="E170" s="115"/>
      <c r="F170" s="116"/>
      <c r="G170" s="115"/>
      <c r="H170" s="117"/>
      <c r="I170" s="115"/>
      <c r="J170" s="115"/>
      <c r="K170" s="115"/>
      <c r="L170" s="115"/>
      <c r="M170" s="156">
        <f t="shared" si="36"/>
        <v>0</v>
      </c>
      <c r="N170" s="156"/>
      <c r="O170" s="156"/>
      <c r="P170" s="119">
        <f t="shared" si="37"/>
        <v>0</v>
      </c>
      <c r="Q170" s="115" t="e">
        <f t="shared" si="39"/>
        <v>#DIV/0!</v>
      </c>
      <c r="R170" s="160">
        <f t="shared" si="40"/>
        <v>0</v>
      </c>
      <c r="S170" s="160">
        <f t="shared" si="38"/>
        <v>0</v>
      </c>
      <c r="T170" s="120"/>
      <c r="U170" s="119"/>
      <c r="V170" s="115"/>
      <c r="W170" s="120"/>
      <c r="X170" s="120"/>
      <c r="Y170" s="158"/>
      <c r="Z170" s="160"/>
      <c r="AA170" s="160"/>
      <c r="AB170" s="160"/>
      <c r="AC170" s="160"/>
      <c r="AD170" s="119"/>
      <c r="AE170" s="115"/>
      <c r="AF170" s="115"/>
      <c r="AG170" s="115"/>
      <c r="AH170" s="115"/>
      <c r="AI170" s="115"/>
      <c r="AJ170" s="115"/>
      <c r="AK170" s="115"/>
      <c r="AL170" s="115"/>
    </row>
    <row r="171" spans="1:38">
      <c r="A171" s="13">
        <f t="shared" si="41"/>
        <v>164</v>
      </c>
      <c r="B171" s="123"/>
      <c r="C171" s="116"/>
      <c r="D171" s="116"/>
      <c r="E171" s="115"/>
      <c r="F171" s="116"/>
      <c r="G171" s="115"/>
      <c r="H171" s="117"/>
      <c r="I171" s="115"/>
      <c r="J171" s="115"/>
      <c r="K171" s="115"/>
      <c r="L171" s="115"/>
      <c r="M171" s="156">
        <f t="shared" si="36"/>
        <v>0</v>
      </c>
      <c r="N171" s="156"/>
      <c r="O171" s="156"/>
      <c r="P171" s="119">
        <f t="shared" si="37"/>
        <v>0</v>
      </c>
      <c r="Q171" s="115" t="e">
        <f t="shared" si="39"/>
        <v>#DIV/0!</v>
      </c>
      <c r="R171" s="160">
        <f t="shared" si="40"/>
        <v>0</v>
      </c>
      <c r="S171" s="160">
        <f t="shared" si="38"/>
        <v>0</v>
      </c>
      <c r="T171" s="120"/>
      <c r="U171" s="119"/>
      <c r="V171" s="115"/>
      <c r="W171" s="120"/>
      <c r="X171" s="120"/>
      <c r="Y171" s="158"/>
      <c r="Z171" s="160"/>
      <c r="AA171" s="160"/>
      <c r="AB171" s="160"/>
      <c r="AC171" s="160"/>
      <c r="AD171" s="119"/>
      <c r="AE171" s="115"/>
      <c r="AF171" s="115"/>
      <c r="AG171" s="115"/>
      <c r="AH171" s="115"/>
      <c r="AI171" s="115"/>
      <c r="AJ171" s="115"/>
      <c r="AK171" s="115"/>
      <c r="AL171" s="115"/>
    </row>
    <row r="172" spans="1:38">
      <c r="A172" s="13">
        <f t="shared" si="41"/>
        <v>165</v>
      </c>
      <c r="B172" s="123"/>
      <c r="C172" s="116"/>
      <c r="D172" s="116"/>
      <c r="E172" s="115"/>
      <c r="F172" s="116"/>
      <c r="G172" s="115"/>
      <c r="H172" s="117"/>
      <c r="I172" s="115"/>
      <c r="J172" s="115"/>
      <c r="K172" s="115"/>
      <c r="L172" s="115"/>
      <c r="M172" s="156">
        <f t="shared" si="36"/>
        <v>0</v>
      </c>
      <c r="N172" s="156"/>
      <c r="O172" s="156"/>
      <c r="P172" s="119">
        <f t="shared" si="37"/>
        <v>0</v>
      </c>
      <c r="Q172" s="115" t="e">
        <f t="shared" si="39"/>
        <v>#DIV/0!</v>
      </c>
      <c r="R172" s="160">
        <f t="shared" si="40"/>
        <v>0</v>
      </c>
      <c r="S172" s="160">
        <f t="shared" si="38"/>
        <v>0</v>
      </c>
      <c r="T172" s="120"/>
      <c r="U172" s="119"/>
      <c r="V172" s="115"/>
      <c r="W172" s="120"/>
      <c r="X172" s="120"/>
      <c r="Y172" s="158"/>
      <c r="Z172" s="160"/>
      <c r="AA172" s="160"/>
      <c r="AB172" s="160"/>
      <c r="AC172" s="160"/>
      <c r="AD172" s="119"/>
      <c r="AE172" s="115"/>
      <c r="AF172" s="115"/>
      <c r="AG172" s="115"/>
      <c r="AH172" s="115"/>
      <c r="AI172" s="115"/>
      <c r="AJ172" s="115"/>
      <c r="AK172" s="115"/>
      <c r="AL172" s="115"/>
    </row>
    <row r="173" spans="1:38">
      <c r="A173" s="13">
        <f t="shared" si="41"/>
        <v>166</v>
      </c>
      <c r="B173" s="123"/>
      <c r="C173" s="116"/>
      <c r="D173" s="116"/>
      <c r="E173" s="115"/>
      <c r="F173" s="116"/>
      <c r="G173" s="115"/>
      <c r="H173" s="117"/>
      <c r="I173" s="115"/>
      <c r="J173" s="115"/>
      <c r="K173" s="115"/>
      <c r="L173" s="115"/>
      <c r="M173" s="156">
        <f t="shared" si="36"/>
        <v>0</v>
      </c>
      <c r="N173" s="156"/>
      <c r="O173" s="156"/>
      <c r="P173" s="119">
        <f t="shared" si="37"/>
        <v>0</v>
      </c>
      <c r="Q173" s="115" t="e">
        <f t="shared" si="39"/>
        <v>#DIV/0!</v>
      </c>
      <c r="R173" s="160">
        <f t="shared" si="40"/>
        <v>0</v>
      </c>
      <c r="S173" s="160">
        <f t="shared" si="38"/>
        <v>0</v>
      </c>
      <c r="T173" s="120"/>
      <c r="U173" s="119"/>
      <c r="V173" s="115"/>
      <c r="W173" s="120"/>
      <c r="X173" s="120"/>
      <c r="Y173" s="158"/>
      <c r="Z173" s="160"/>
      <c r="AA173" s="160"/>
      <c r="AB173" s="160"/>
      <c r="AC173" s="160"/>
      <c r="AD173" s="119"/>
      <c r="AE173" s="115"/>
      <c r="AF173" s="115"/>
      <c r="AG173" s="115"/>
      <c r="AH173" s="115"/>
      <c r="AI173" s="115"/>
      <c r="AJ173" s="115"/>
      <c r="AK173" s="115"/>
      <c r="AL173" s="115"/>
    </row>
    <row r="174" spans="1:38">
      <c r="A174" s="13">
        <f t="shared" si="41"/>
        <v>167</v>
      </c>
      <c r="B174" s="123"/>
      <c r="C174" s="116"/>
      <c r="D174" s="116"/>
      <c r="E174" s="115"/>
      <c r="F174" s="116"/>
      <c r="G174" s="115"/>
      <c r="H174" s="117"/>
      <c r="I174" s="115"/>
      <c r="J174" s="115"/>
      <c r="K174" s="115"/>
      <c r="L174" s="115"/>
      <c r="M174" s="156">
        <f t="shared" si="36"/>
        <v>0</v>
      </c>
      <c r="N174" s="156"/>
      <c r="O174" s="156"/>
      <c r="P174" s="119">
        <f t="shared" si="37"/>
        <v>0</v>
      </c>
      <c r="Q174" s="115" t="e">
        <f t="shared" si="39"/>
        <v>#DIV/0!</v>
      </c>
      <c r="R174" s="160">
        <f t="shared" si="40"/>
        <v>0</v>
      </c>
      <c r="S174" s="160">
        <f t="shared" si="38"/>
        <v>0</v>
      </c>
      <c r="T174" s="120"/>
      <c r="U174" s="119"/>
      <c r="V174" s="115"/>
      <c r="W174" s="120"/>
      <c r="X174" s="120"/>
      <c r="Y174" s="158"/>
      <c r="Z174" s="160"/>
      <c r="AA174" s="160"/>
      <c r="AB174" s="160"/>
      <c r="AC174" s="160"/>
      <c r="AD174" s="119"/>
      <c r="AE174" s="115"/>
      <c r="AF174" s="115"/>
      <c r="AG174" s="115"/>
      <c r="AH174" s="115"/>
      <c r="AI174" s="115"/>
      <c r="AJ174" s="115"/>
      <c r="AK174" s="115"/>
      <c r="AL174" s="115"/>
    </row>
    <row r="175" spans="1:38">
      <c r="A175" s="13">
        <f t="shared" si="41"/>
        <v>168</v>
      </c>
      <c r="B175" s="123"/>
      <c r="C175" s="116"/>
      <c r="D175" s="116"/>
      <c r="E175" s="115"/>
      <c r="F175" s="116"/>
      <c r="G175" s="115"/>
      <c r="H175" s="117"/>
      <c r="I175" s="115"/>
      <c r="J175" s="115"/>
      <c r="K175" s="115"/>
      <c r="L175" s="115"/>
      <c r="M175" s="156">
        <f t="shared" si="36"/>
        <v>0</v>
      </c>
      <c r="N175" s="156"/>
      <c r="O175" s="156"/>
      <c r="P175" s="119">
        <f t="shared" si="37"/>
        <v>0</v>
      </c>
      <c r="Q175" s="115" t="e">
        <f t="shared" si="39"/>
        <v>#DIV/0!</v>
      </c>
      <c r="R175" s="160">
        <f t="shared" si="40"/>
        <v>0</v>
      </c>
      <c r="S175" s="160">
        <f t="shared" si="38"/>
        <v>0</v>
      </c>
      <c r="T175" s="120"/>
      <c r="U175" s="119"/>
      <c r="V175" s="115"/>
      <c r="W175" s="120"/>
      <c r="X175" s="120"/>
      <c r="Y175" s="158"/>
      <c r="Z175" s="160"/>
      <c r="AA175" s="160"/>
      <c r="AB175" s="160"/>
      <c r="AC175" s="160"/>
      <c r="AD175" s="119"/>
      <c r="AE175" s="115"/>
      <c r="AF175" s="115"/>
      <c r="AG175" s="115"/>
      <c r="AH175" s="115"/>
      <c r="AI175" s="115"/>
      <c r="AJ175" s="115"/>
      <c r="AK175" s="115"/>
      <c r="AL175" s="115"/>
    </row>
    <row r="176" spans="1:38">
      <c r="A176" s="13">
        <f t="shared" si="41"/>
        <v>169</v>
      </c>
      <c r="B176" s="123"/>
      <c r="C176" s="116"/>
      <c r="D176" s="116"/>
      <c r="E176" s="115"/>
      <c r="F176" s="116"/>
      <c r="G176" s="115"/>
      <c r="H176" s="117"/>
      <c r="I176" s="115"/>
      <c r="J176" s="115"/>
      <c r="K176" s="115"/>
      <c r="L176" s="115"/>
      <c r="M176" s="156">
        <f t="shared" si="36"/>
        <v>0</v>
      </c>
      <c r="N176" s="156"/>
      <c r="O176" s="156"/>
      <c r="P176" s="119">
        <f t="shared" si="37"/>
        <v>0</v>
      </c>
      <c r="Q176" s="115" t="e">
        <f t="shared" si="39"/>
        <v>#DIV/0!</v>
      </c>
      <c r="R176" s="160">
        <f t="shared" si="40"/>
        <v>0</v>
      </c>
      <c r="S176" s="160">
        <f t="shared" si="38"/>
        <v>0</v>
      </c>
      <c r="T176" s="120"/>
      <c r="U176" s="119"/>
      <c r="V176" s="115"/>
      <c r="W176" s="120"/>
      <c r="X176" s="120"/>
      <c r="Y176" s="158"/>
      <c r="Z176" s="160"/>
      <c r="AA176" s="160"/>
      <c r="AB176" s="160"/>
      <c r="AC176" s="160"/>
      <c r="AD176" s="119"/>
      <c r="AE176" s="115"/>
      <c r="AF176" s="115"/>
      <c r="AG176" s="115"/>
      <c r="AH176" s="115"/>
      <c r="AI176" s="115"/>
      <c r="AJ176" s="115"/>
      <c r="AK176" s="115"/>
      <c r="AL176" s="115"/>
    </row>
    <row r="177" spans="1:38">
      <c r="A177" s="13">
        <f t="shared" si="41"/>
        <v>170</v>
      </c>
      <c r="B177" s="123"/>
      <c r="C177" s="116"/>
      <c r="D177" s="116"/>
      <c r="E177" s="115"/>
      <c r="F177" s="116"/>
      <c r="G177" s="115"/>
      <c r="H177" s="117"/>
      <c r="I177" s="115"/>
      <c r="J177" s="115"/>
      <c r="K177" s="115"/>
      <c r="L177" s="115"/>
      <c r="M177" s="156">
        <f t="shared" si="36"/>
        <v>0</v>
      </c>
      <c r="N177" s="156"/>
      <c r="O177" s="156"/>
      <c r="P177" s="119">
        <f t="shared" si="37"/>
        <v>0</v>
      </c>
      <c r="Q177" s="115" t="e">
        <f t="shared" si="39"/>
        <v>#DIV/0!</v>
      </c>
      <c r="R177" s="160">
        <f t="shared" si="40"/>
        <v>0</v>
      </c>
      <c r="S177" s="160">
        <f t="shared" si="38"/>
        <v>0</v>
      </c>
      <c r="T177" s="120"/>
      <c r="U177" s="119"/>
      <c r="V177" s="115"/>
      <c r="W177" s="120"/>
      <c r="X177" s="120"/>
      <c r="Y177" s="158"/>
      <c r="Z177" s="160"/>
      <c r="AA177" s="160"/>
      <c r="AB177" s="160"/>
      <c r="AC177" s="160"/>
      <c r="AD177" s="119"/>
      <c r="AE177" s="115"/>
      <c r="AF177" s="115"/>
      <c r="AG177" s="115"/>
      <c r="AH177" s="115"/>
      <c r="AI177" s="115"/>
      <c r="AJ177" s="115"/>
      <c r="AK177" s="115"/>
      <c r="AL177" s="115"/>
    </row>
    <row r="178" spans="1:38">
      <c r="A178" s="13">
        <f t="shared" si="41"/>
        <v>171</v>
      </c>
      <c r="B178" s="123"/>
      <c r="C178" s="116"/>
      <c r="D178" s="116"/>
      <c r="E178" s="115"/>
      <c r="F178" s="116"/>
      <c r="G178" s="115"/>
      <c r="H178" s="117"/>
      <c r="I178" s="115"/>
      <c r="J178" s="115"/>
      <c r="K178" s="115"/>
      <c r="L178" s="115"/>
      <c r="M178" s="156">
        <f t="shared" si="36"/>
        <v>0</v>
      </c>
      <c r="N178" s="156"/>
      <c r="O178" s="156"/>
      <c r="P178" s="119">
        <f t="shared" si="37"/>
        <v>0</v>
      </c>
      <c r="Q178" s="115" t="e">
        <f t="shared" si="39"/>
        <v>#DIV/0!</v>
      </c>
      <c r="R178" s="160">
        <f t="shared" si="40"/>
        <v>0</v>
      </c>
      <c r="S178" s="160">
        <f t="shared" si="38"/>
        <v>0</v>
      </c>
      <c r="T178" s="120"/>
      <c r="U178" s="119"/>
      <c r="V178" s="115"/>
      <c r="W178" s="120"/>
      <c r="X178" s="120"/>
      <c r="Y178" s="158"/>
      <c r="Z178" s="160"/>
      <c r="AA178" s="160"/>
      <c r="AB178" s="160"/>
      <c r="AC178" s="160"/>
      <c r="AD178" s="119"/>
      <c r="AE178" s="115"/>
      <c r="AF178" s="115"/>
      <c r="AG178" s="115"/>
      <c r="AH178" s="115"/>
      <c r="AI178" s="115"/>
      <c r="AJ178" s="115"/>
      <c r="AK178" s="115"/>
      <c r="AL178" s="115"/>
    </row>
    <row r="179" spans="1:38">
      <c r="A179" s="13">
        <f t="shared" si="41"/>
        <v>172</v>
      </c>
      <c r="B179" s="123"/>
      <c r="C179" s="116"/>
      <c r="D179" s="116"/>
      <c r="E179" s="115"/>
      <c r="F179" s="116"/>
      <c r="G179" s="115"/>
      <c r="H179" s="117"/>
      <c r="I179" s="115"/>
      <c r="J179" s="115"/>
      <c r="K179" s="115"/>
      <c r="L179" s="115"/>
      <c r="M179" s="156">
        <f t="shared" si="36"/>
        <v>0</v>
      </c>
      <c r="N179" s="156"/>
      <c r="O179" s="156"/>
      <c r="P179" s="119">
        <f t="shared" si="37"/>
        <v>0</v>
      </c>
      <c r="Q179" s="115" t="e">
        <f t="shared" si="39"/>
        <v>#DIV/0!</v>
      </c>
      <c r="R179" s="160">
        <f t="shared" si="40"/>
        <v>0</v>
      </c>
      <c r="S179" s="160">
        <f t="shared" si="38"/>
        <v>0</v>
      </c>
      <c r="T179" s="120"/>
      <c r="U179" s="119"/>
      <c r="V179" s="115"/>
      <c r="W179" s="120"/>
      <c r="X179" s="120"/>
      <c r="Y179" s="158"/>
      <c r="Z179" s="160"/>
      <c r="AA179" s="160"/>
      <c r="AB179" s="160"/>
      <c r="AC179" s="160"/>
      <c r="AD179" s="119"/>
      <c r="AE179" s="115"/>
      <c r="AF179" s="115"/>
      <c r="AG179" s="115"/>
      <c r="AH179" s="115"/>
      <c r="AI179" s="115"/>
      <c r="AJ179" s="115"/>
      <c r="AK179" s="115"/>
      <c r="AL179" s="115"/>
    </row>
    <row r="180" spans="1:38">
      <c r="A180" s="13">
        <f t="shared" si="41"/>
        <v>173</v>
      </c>
      <c r="B180" s="123"/>
      <c r="C180" s="116"/>
      <c r="D180" s="116"/>
      <c r="E180" s="115"/>
      <c r="F180" s="116"/>
      <c r="G180" s="115"/>
      <c r="H180" s="117"/>
      <c r="I180" s="115"/>
      <c r="J180" s="115"/>
      <c r="K180" s="115"/>
      <c r="L180" s="115"/>
      <c r="M180" s="156">
        <f t="shared" si="36"/>
        <v>0</v>
      </c>
      <c r="N180" s="156"/>
      <c r="O180" s="156"/>
      <c r="P180" s="119">
        <f t="shared" si="37"/>
        <v>0</v>
      </c>
      <c r="Q180" s="115" t="e">
        <f t="shared" si="39"/>
        <v>#DIV/0!</v>
      </c>
      <c r="R180" s="160">
        <f t="shared" si="40"/>
        <v>0</v>
      </c>
      <c r="S180" s="160">
        <f t="shared" si="38"/>
        <v>0</v>
      </c>
      <c r="T180" s="120"/>
      <c r="U180" s="119"/>
      <c r="V180" s="115"/>
      <c r="W180" s="120"/>
      <c r="X180" s="120"/>
      <c r="Y180" s="158"/>
      <c r="Z180" s="160"/>
      <c r="AA180" s="160"/>
      <c r="AB180" s="160"/>
      <c r="AC180" s="160"/>
      <c r="AD180" s="119"/>
      <c r="AE180" s="115"/>
      <c r="AF180" s="115"/>
      <c r="AG180" s="115"/>
      <c r="AH180" s="115"/>
      <c r="AI180" s="115"/>
      <c r="AJ180" s="115"/>
      <c r="AK180" s="115"/>
      <c r="AL180" s="115"/>
    </row>
    <row r="181" spans="1:38">
      <c r="A181" s="13">
        <f t="shared" si="41"/>
        <v>174</v>
      </c>
      <c r="B181" s="123"/>
      <c r="C181" s="116"/>
      <c r="D181" s="116"/>
      <c r="E181" s="115"/>
      <c r="F181" s="116"/>
      <c r="G181" s="115"/>
      <c r="H181" s="117"/>
      <c r="I181" s="115"/>
      <c r="J181" s="115"/>
      <c r="K181" s="115"/>
      <c r="L181" s="115"/>
      <c r="M181" s="156">
        <f t="shared" ref="M181:M244" si="42">J181*(1+$M$6*IF(C181="B",-1,1))</f>
        <v>0</v>
      </c>
      <c r="N181" s="156"/>
      <c r="O181" s="156"/>
      <c r="P181" s="119">
        <f t="shared" ref="P181:P244" si="43">IF(AND(K181&lt;&gt;0,I181&lt;&gt;0),(IF(C181="B",1,-1))*(K181-J181)*I181-AL181*2,0)</f>
        <v>0</v>
      </c>
      <c r="Q181" s="115" t="e">
        <f t="shared" si="39"/>
        <v>#DIV/0!</v>
      </c>
      <c r="R181" s="160">
        <f t="shared" si="40"/>
        <v>0</v>
      </c>
      <c r="S181" s="160">
        <f t="shared" ref="S181:S244" si="44">(Y181-J181)*I181*IF(C181="B",1,-1)*IF(K181=0,1,0)</f>
        <v>0</v>
      </c>
      <c r="T181" s="120"/>
      <c r="U181" s="119"/>
      <c r="V181" s="115"/>
      <c r="W181" s="120"/>
      <c r="X181" s="120"/>
      <c r="Y181" s="158"/>
      <c r="Z181" s="160"/>
      <c r="AA181" s="160"/>
      <c r="AB181" s="160"/>
      <c r="AC181" s="160"/>
      <c r="AD181" s="119"/>
      <c r="AE181" s="115"/>
      <c r="AF181" s="115"/>
      <c r="AG181" s="115"/>
      <c r="AH181" s="115"/>
      <c r="AI181" s="115"/>
      <c r="AJ181" s="115"/>
      <c r="AK181" s="115"/>
      <c r="AL181" s="115"/>
    </row>
    <row r="182" spans="1:38">
      <c r="A182" s="13">
        <f t="shared" si="41"/>
        <v>175</v>
      </c>
      <c r="B182" s="123"/>
      <c r="C182" s="116"/>
      <c r="D182" s="116"/>
      <c r="E182" s="115"/>
      <c r="F182" s="116"/>
      <c r="G182" s="115"/>
      <c r="H182" s="117"/>
      <c r="I182" s="115"/>
      <c r="J182" s="115"/>
      <c r="K182" s="115"/>
      <c r="L182" s="115"/>
      <c r="M182" s="156">
        <f t="shared" si="42"/>
        <v>0</v>
      </c>
      <c r="N182" s="156"/>
      <c r="O182" s="156"/>
      <c r="P182" s="119">
        <f t="shared" si="43"/>
        <v>0</v>
      </c>
      <c r="Q182" s="115" t="e">
        <f t="shared" si="39"/>
        <v>#DIV/0!</v>
      </c>
      <c r="R182" s="160">
        <f t="shared" si="40"/>
        <v>0</v>
      </c>
      <c r="S182" s="160">
        <f t="shared" si="44"/>
        <v>0</v>
      </c>
      <c r="T182" s="120"/>
      <c r="U182" s="119"/>
      <c r="V182" s="115"/>
      <c r="W182" s="120"/>
      <c r="X182" s="120"/>
      <c r="Y182" s="158"/>
      <c r="Z182" s="160"/>
      <c r="AA182" s="160"/>
      <c r="AB182" s="160"/>
      <c r="AC182" s="160"/>
      <c r="AD182" s="119"/>
      <c r="AE182" s="115"/>
      <c r="AF182" s="115"/>
      <c r="AG182" s="115"/>
      <c r="AH182" s="115"/>
      <c r="AI182" s="115"/>
      <c r="AJ182" s="115"/>
      <c r="AK182" s="115"/>
      <c r="AL182" s="115"/>
    </row>
    <row r="183" spans="1:38">
      <c r="A183" s="13">
        <f t="shared" si="41"/>
        <v>176</v>
      </c>
      <c r="B183" s="123"/>
      <c r="C183" s="116"/>
      <c r="D183" s="116"/>
      <c r="E183" s="115"/>
      <c r="F183" s="116"/>
      <c r="G183" s="115"/>
      <c r="H183" s="117"/>
      <c r="I183" s="115"/>
      <c r="J183" s="115"/>
      <c r="K183" s="115"/>
      <c r="L183" s="115"/>
      <c r="M183" s="156">
        <f t="shared" si="42"/>
        <v>0</v>
      </c>
      <c r="N183" s="156"/>
      <c r="O183" s="156"/>
      <c r="P183" s="119">
        <f t="shared" si="43"/>
        <v>0</v>
      </c>
      <c r="Q183" s="115" t="e">
        <f t="shared" si="39"/>
        <v>#DIV/0!</v>
      </c>
      <c r="R183" s="160">
        <f t="shared" si="40"/>
        <v>0</v>
      </c>
      <c r="S183" s="160">
        <f t="shared" si="44"/>
        <v>0</v>
      </c>
      <c r="T183" s="120"/>
      <c r="U183" s="119"/>
      <c r="V183" s="115"/>
      <c r="W183" s="120"/>
      <c r="X183" s="120"/>
      <c r="Y183" s="158"/>
      <c r="Z183" s="160"/>
      <c r="AA183" s="160"/>
      <c r="AB183" s="160"/>
      <c r="AC183" s="160"/>
      <c r="AD183" s="119"/>
      <c r="AE183" s="115"/>
      <c r="AF183" s="115"/>
      <c r="AG183" s="115"/>
      <c r="AH183" s="115"/>
      <c r="AI183" s="115"/>
      <c r="AJ183" s="115"/>
      <c r="AK183" s="115"/>
      <c r="AL183" s="115"/>
    </row>
    <row r="184" spans="1:38">
      <c r="A184" s="13">
        <f t="shared" si="41"/>
        <v>177</v>
      </c>
      <c r="B184" s="123"/>
      <c r="C184" s="116"/>
      <c r="D184" s="116"/>
      <c r="E184" s="115"/>
      <c r="F184" s="116"/>
      <c r="G184" s="115"/>
      <c r="H184" s="117"/>
      <c r="I184" s="115"/>
      <c r="J184" s="115"/>
      <c r="K184" s="115"/>
      <c r="L184" s="115"/>
      <c r="M184" s="156">
        <f t="shared" si="42"/>
        <v>0</v>
      </c>
      <c r="N184" s="156"/>
      <c r="O184" s="156"/>
      <c r="P184" s="119">
        <f t="shared" si="43"/>
        <v>0</v>
      </c>
      <c r="Q184" s="115" t="e">
        <f t="shared" si="39"/>
        <v>#DIV/0!</v>
      </c>
      <c r="R184" s="160">
        <f t="shared" si="40"/>
        <v>0</v>
      </c>
      <c r="S184" s="160">
        <f t="shared" si="44"/>
        <v>0</v>
      </c>
      <c r="T184" s="120"/>
      <c r="U184" s="119"/>
      <c r="V184" s="115"/>
      <c r="W184" s="120"/>
      <c r="X184" s="120"/>
      <c r="Y184" s="158"/>
      <c r="Z184" s="160"/>
      <c r="AA184" s="160"/>
      <c r="AB184" s="160"/>
      <c r="AC184" s="160"/>
      <c r="AD184" s="119"/>
      <c r="AE184" s="115"/>
      <c r="AF184" s="115"/>
      <c r="AG184" s="115"/>
      <c r="AH184" s="115"/>
      <c r="AI184" s="115"/>
      <c r="AJ184" s="115"/>
      <c r="AK184" s="115"/>
      <c r="AL184" s="115"/>
    </row>
    <row r="185" spans="1:38">
      <c r="A185" s="13">
        <f t="shared" si="41"/>
        <v>178</v>
      </c>
      <c r="B185" s="123"/>
      <c r="C185" s="116"/>
      <c r="D185" s="116"/>
      <c r="E185" s="115"/>
      <c r="F185" s="116"/>
      <c r="G185" s="115"/>
      <c r="H185" s="117"/>
      <c r="I185" s="115"/>
      <c r="J185" s="115"/>
      <c r="K185" s="115"/>
      <c r="L185" s="115"/>
      <c r="M185" s="156">
        <f t="shared" si="42"/>
        <v>0</v>
      </c>
      <c r="N185" s="156"/>
      <c r="O185" s="156"/>
      <c r="P185" s="119">
        <f t="shared" si="43"/>
        <v>0</v>
      </c>
      <c r="Q185" s="115" t="e">
        <f t="shared" si="39"/>
        <v>#DIV/0!</v>
      </c>
      <c r="R185" s="160">
        <f t="shared" si="40"/>
        <v>0</v>
      </c>
      <c r="S185" s="160">
        <f t="shared" si="44"/>
        <v>0</v>
      </c>
      <c r="T185" s="120"/>
      <c r="U185" s="119"/>
      <c r="V185" s="115"/>
      <c r="W185" s="120"/>
      <c r="X185" s="120"/>
      <c r="Y185" s="158"/>
      <c r="Z185" s="160"/>
      <c r="AA185" s="160"/>
      <c r="AB185" s="160"/>
      <c r="AC185" s="160"/>
      <c r="AD185" s="119"/>
      <c r="AE185" s="115"/>
      <c r="AF185" s="115"/>
      <c r="AG185" s="115"/>
      <c r="AH185" s="115"/>
      <c r="AI185" s="115"/>
      <c r="AJ185" s="115"/>
      <c r="AK185" s="115"/>
      <c r="AL185" s="115"/>
    </row>
    <row r="186" spans="1:38">
      <c r="A186" s="13">
        <f t="shared" si="41"/>
        <v>179</v>
      </c>
      <c r="B186" s="123"/>
      <c r="C186" s="116"/>
      <c r="D186" s="116"/>
      <c r="E186" s="115"/>
      <c r="F186" s="116"/>
      <c r="G186" s="115"/>
      <c r="H186" s="117"/>
      <c r="I186" s="115"/>
      <c r="J186" s="115"/>
      <c r="K186" s="115"/>
      <c r="L186" s="115"/>
      <c r="M186" s="156">
        <f t="shared" si="42"/>
        <v>0</v>
      </c>
      <c r="N186" s="156"/>
      <c r="O186" s="156"/>
      <c r="P186" s="119">
        <f t="shared" si="43"/>
        <v>0</v>
      </c>
      <c r="Q186" s="115" t="e">
        <f t="shared" si="39"/>
        <v>#DIV/0!</v>
      </c>
      <c r="R186" s="160">
        <f t="shared" si="40"/>
        <v>0</v>
      </c>
      <c r="S186" s="160">
        <f t="shared" si="44"/>
        <v>0</v>
      </c>
      <c r="T186" s="120"/>
      <c r="U186" s="119"/>
      <c r="V186" s="115"/>
      <c r="W186" s="120"/>
      <c r="X186" s="120"/>
      <c r="Y186" s="158"/>
      <c r="Z186" s="160"/>
      <c r="AA186" s="160"/>
      <c r="AB186" s="160"/>
      <c r="AC186" s="160"/>
      <c r="AD186" s="119"/>
      <c r="AE186" s="115"/>
      <c r="AF186" s="115"/>
      <c r="AG186" s="115"/>
      <c r="AH186" s="115"/>
      <c r="AI186" s="115"/>
      <c r="AJ186" s="115"/>
      <c r="AK186" s="115"/>
      <c r="AL186" s="115"/>
    </row>
    <row r="187" spans="1:38">
      <c r="A187" s="13">
        <f t="shared" si="41"/>
        <v>180</v>
      </c>
      <c r="B187" s="123"/>
      <c r="C187" s="116"/>
      <c r="D187" s="116"/>
      <c r="E187" s="115"/>
      <c r="F187" s="116"/>
      <c r="G187" s="115"/>
      <c r="H187" s="117"/>
      <c r="I187" s="115"/>
      <c r="J187" s="115"/>
      <c r="K187" s="115"/>
      <c r="L187" s="115"/>
      <c r="M187" s="156">
        <f t="shared" si="42"/>
        <v>0</v>
      </c>
      <c r="N187" s="156"/>
      <c r="O187" s="156"/>
      <c r="P187" s="119">
        <f t="shared" si="43"/>
        <v>0</v>
      </c>
      <c r="Q187" s="115" t="e">
        <f t="shared" si="39"/>
        <v>#DIV/0!</v>
      </c>
      <c r="R187" s="160">
        <f t="shared" si="40"/>
        <v>0</v>
      </c>
      <c r="S187" s="160">
        <f t="shared" si="44"/>
        <v>0</v>
      </c>
      <c r="T187" s="120"/>
      <c r="U187" s="119"/>
      <c r="V187" s="115"/>
      <c r="W187" s="120"/>
      <c r="X187" s="120"/>
      <c r="Y187" s="158"/>
      <c r="Z187" s="160"/>
      <c r="AA187" s="160"/>
      <c r="AB187" s="160"/>
      <c r="AC187" s="160"/>
      <c r="AD187" s="119"/>
      <c r="AE187" s="115"/>
      <c r="AF187" s="115"/>
      <c r="AG187" s="115"/>
      <c r="AH187" s="115"/>
      <c r="AI187" s="115"/>
      <c r="AJ187" s="115"/>
      <c r="AK187" s="115"/>
      <c r="AL187" s="115"/>
    </row>
    <row r="188" spans="1:38">
      <c r="A188" s="13">
        <f t="shared" si="41"/>
        <v>181</v>
      </c>
      <c r="B188" s="123"/>
      <c r="C188" s="116"/>
      <c r="D188" s="116"/>
      <c r="E188" s="115"/>
      <c r="F188" s="116"/>
      <c r="G188" s="115"/>
      <c r="H188" s="117"/>
      <c r="I188" s="115"/>
      <c r="J188" s="115"/>
      <c r="K188" s="115"/>
      <c r="L188" s="115"/>
      <c r="M188" s="156">
        <f t="shared" si="42"/>
        <v>0</v>
      </c>
      <c r="N188" s="156"/>
      <c r="O188" s="156"/>
      <c r="P188" s="119">
        <f t="shared" si="43"/>
        <v>0</v>
      </c>
      <c r="Q188" s="115" t="e">
        <f t="shared" si="39"/>
        <v>#DIV/0!</v>
      </c>
      <c r="R188" s="160">
        <f t="shared" si="40"/>
        <v>0</v>
      </c>
      <c r="S188" s="160">
        <f t="shared" si="44"/>
        <v>0</v>
      </c>
      <c r="T188" s="120"/>
      <c r="U188" s="119"/>
      <c r="V188" s="115"/>
      <c r="W188" s="120"/>
      <c r="X188" s="120"/>
      <c r="Y188" s="158"/>
      <c r="Z188" s="160"/>
      <c r="AA188" s="160"/>
      <c r="AB188" s="160"/>
      <c r="AC188" s="160"/>
      <c r="AD188" s="119"/>
      <c r="AE188" s="115"/>
      <c r="AF188" s="115"/>
      <c r="AG188" s="115"/>
      <c r="AH188" s="115"/>
      <c r="AI188" s="115"/>
      <c r="AJ188" s="115"/>
      <c r="AK188" s="115"/>
      <c r="AL188" s="115"/>
    </row>
    <row r="189" spans="1:38">
      <c r="A189" s="13">
        <f t="shared" si="41"/>
        <v>182</v>
      </c>
      <c r="B189" s="123"/>
      <c r="C189" s="116"/>
      <c r="D189" s="116"/>
      <c r="E189" s="115"/>
      <c r="F189" s="116"/>
      <c r="G189" s="115"/>
      <c r="H189" s="117"/>
      <c r="I189" s="115"/>
      <c r="J189" s="115"/>
      <c r="K189" s="115"/>
      <c r="L189" s="115"/>
      <c r="M189" s="156">
        <f t="shared" si="42"/>
        <v>0</v>
      </c>
      <c r="N189" s="156"/>
      <c r="O189" s="156"/>
      <c r="P189" s="119">
        <f t="shared" si="43"/>
        <v>0</v>
      </c>
      <c r="Q189" s="115" t="e">
        <f t="shared" si="39"/>
        <v>#DIV/0!</v>
      </c>
      <c r="R189" s="160">
        <f t="shared" si="40"/>
        <v>0</v>
      </c>
      <c r="S189" s="160">
        <f t="shared" si="44"/>
        <v>0</v>
      </c>
      <c r="T189" s="120"/>
      <c r="U189" s="119"/>
      <c r="V189" s="115"/>
      <c r="W189" s="120"/>
      <c r="X189" s="120"/>
      <c r="Y189" s="158"/>
      <c r="Z189" s="160"/>
      <c r="AA189" s="160"/>
      <c r="AB189" s="160"/>
      <c r="AC189" s="160"/>
      <c r="AD189" s="119"/>
      <c r="AE189" s="115"/>
      <c r="AF189" s="115"/>
      <c r="AG189" s="115"/>
      <c r="AH189" s="115"/>
      <c r="AI189" s="115"/>
      <c r="AJ189" s="115"/>
      <c r="AK189" s="115"/>
      <c r="AL189" s="115"/>
    </row>
    <row r="190" spans="1:38">
      <c r="A190" s="13">
        <f t="shared" si="41"/>
        <v>183</v>
      </c>
      <c r="B190" s="123"/>
      <c r="C190" s="116"/>
      <c r="D190" s="116"/>
      <c r="E190" s="115"/>
      <c r="F190" s="116"/>
      <c r="G190" s="115"/>
      <c r="H190" s="117"/>
      <c r="I190" s="115"/>
      <c r="J190" s="115"/>
      <c r="K190" s="115"/>
      <c r="L190" s="115"/>
      <c r="M190" s="156">
        <f t="shared" si="42"/>
        <v>0</v>
      </c>
      <c r="N190" s="156"/>
      <c r="O190" s="156"/>
      <c r="P190" s="119">
        <f t="shared" si="43"/>
        <v>0</v>
      </c>
      <c r="Q190" s="115" t="e">
        <f t="shared" si="39"/>
        <v>#DIV/0!</v>
      </c>
      <c r="R190" s="160">
        <f t="shared" si="40"/>
        <v>0</v>
      </c>
      <c r="S190" s="160">
        <f t="shared" si="44"/>
        <v>0</v>
      </c>
      <c r="T190" s="120"/>
      <c r="U190" s="119"/>
      <c r="V190" s="115"/>
      <c r="W190" s="120"/>
      <c r="X190" s="120"/>
      <c r="Y190" s="158"/>
      <c r="Z190" s="160"/>
      <c r="AA190" s="160"/>
      <c r="AB190" s="160"/>
      <c r="AC190" s="160"/>
      <c r="AD190" s="119"/>
      <c r="AE190" s="115"/>
      <c r="AF190" s="115"/>
      <c r="AG190" s="115"/>
      <c r="AH190" s="115"/>
      <c r="AI190" s="115"/>
      <c r="AJ190" s="115"/>
      <c r="AK190" s="115"/>
      <c r="AL190" s="115"/>
    </row>
    <row r="191" spans="1:38">
      <c r="A191" s="13">
        <f t="shared" si="41"/>
        <v>184</v>
      </c>
      <c r="B191" s="123"/>
      <c r="C191" s="116"/>
      <c r="D191" s="116"/>
      <c r="E191" s="115"/>
      <c r="F191" s="116"/>
      <c r="G191" s="115"/>
      <c r="H191" s="117"/>
      <c r="I191" s="115"/>
      <c r="J191" s="115"/>
      <c r="K191" s="115"/>
      <c r="L191" s="115"/>
      <c r="M191" s="156">
        <f t="shared" si="42"/>
        <v>0</v>
      </c>
      <c r="N191" s="156"/>
      <c r="O191" s="156"/>
      <c r="P191" s="119">
        <f t="shared" si="43"/>
        <v>0</v>
      </c>
      <c r="Q191" s="115" t="e">
        <f t="shared" si="39"/>
        <v>#DIV/0!</v>
      </c>
      <c r="R191" s="160">
        <f t="shared" si="40"/>
        <v>0</v>
      </c>
      <c r="S191" s="160">
        <f t="shared" si="44"/>
        <v>0</v>
      </c>
      <c r="T191" s="120"/>
      <c r="U191" s="119"/>
      <c r="V191" s="115"/>
      <c r="W191" s="120"/>
      <c r="X191" s="120"/>
      <c r="Y191" s="158"/>
      <c r="Z191" s="160"/>
      <c r="AA191" s="160"/>
      <c r="AB191" s="160"/>
      <c r="AC191" s="160"/>
      <c r="AD191" s="119"/>
      <c r="AE191" s="115"/>
      <c r="AF191" s="115"/>
      <c r="AG191" s="115"/>
      <c r="AH191" s="115"/>
      <c r="AI191" s="115"/>
      <c r="AJ191" s="115"/>
      <c r="AK191" s="115"/>
      <c r="AL191" s="115"/>
    </row>
    <row r="192" spans="1:38">
      <c r="A192" s="13">
        <f t="shared" si="41"/>
        <v>185</v>
      </c>
      <c r="B192" s="123"/>
      <c r="C192" s="116"/>
      <c r="D192" s="116"/>
      <c r="E192" s="115"/>
      <c r="F192" s="116"/>
      <c r="G192" s="115"/>
      <c r="H192" s="117"/>
      <c r="I192" s="115"/>
      <c r="J192" s="115"/>
      <c r="K192" s="115"/>
      <c r="L192" s="115"/>
      <c r="M192" s="156">
        <f t="shared" si="42"/>
        <v>0</v>
      </c>
      <c r="N192" s="156"/>
      <c r="O192" s="156"/>
      <c r="P192" s="119">
        <f t="shared" si="43"/>
        <v>0</v>
      </c>
      <c r="Q192" s="115" t="e">
        <f t="shared" si="39"/>
        <v>#DIV/0!</v>
      </c>
      <c r="R192" s="160">
        <f t="shared" si="40"/>
        <v>0</v>
      </c>
      <c r="S192" s="160">
        <f t="shared" si="44"/>
        <v>0</v>
      </c>
      <c r="T192" s="120"/>
      <c r="U192" s="119"/>
      <c r="V192" s="115"/>
      <c r="W192" s="120"/>
      <c r="X192" s="120"/>
      <c r="Y192" s="158"/>
      <c r="Z192" s="160"/>
      <c r="AA192" s="160"/>
      <c r="AB192" s="160"/>
      <c r="AC192" s="160"/>
      <c r="AD192" s="119"/>
      <c r="AE192" s="115"/>
      <c r="AF192" s="115"/>
      <c r="AG192" s="115"/>
      <c r="AH192" s="115"/>
      <c r="AI192" s="115"/>
      <c r="AJ192" s="115"/>
      <c r="AK192" s="115"/>
      <c r="AL192" s="115"/>
    </row>
    <row r="193" spans="1:38">
      <c r="A193" s="13">
        <f t="shared" si="41"/>
        <v>186</v>
      </c>
      <c r="B193" s="123"/>
      <c r="C193" s="116"/>
      <c r="D193" s="116"/>
      <c r="E193" s="115"/>
      <c r="F193" s="116"/>
      <c r="G193" s="115"/>
      <c r="H193" s="117"/>
      <c r="I193" s="115"/>
      <c r="J193" s="115"/>
      <c r="K193" s="115"/>
      <c r="L193" s="115"/>
      <c r="M193" s="156">
        <f t="shared" si="42"/>
        <v>0</v>
      </c>
      <c r="N193" s="156"/>
      <c r="O193" s="156"/>
      <c r="P193" s="119">
        <f t="shared" si="43"/>
        <v>0</v>
      </c>
      <c r="Q193" s="115" t="e">
        <f t="shared" si="39"/>
        <v>#DIV/0!</v>
      </c>
      <c r="R193" s="160">
        <f t="shared" si="40"/>
        <v>0</v>
      </c>
      <c r="S193" s="160">
        <f t="shared" si="44"/>
        <v>0</v>
      </c>
      <c r="T193" s="120"/>
      <c r="U193" s="119"/>
      <c r="V193" s="115"/>
      <c r="W193" s="120"/>
      <c r="X193" s="120"/>
      <c r="Y193" s="158"/>
      <c r="Z193" s="160"/>
      <c r="AA193" s="160"/>
      <c r="AB193" s="160"/>
      <c r="AC193" s="160"/>
      <c r="AD193" s="119"/>
      <c r="AE193" s="115"/>
      <c r="AF193" s="115"/>
      <c r="AG193" s="115"/>
      <c r="AH193" s="115"/>
      <c r="AI193" s="115"/>
      <c r="AJ193" s="115"/>
      <c r="AK193" s="115"/>
      <c r="AL193" s="115"/>
    </row>
    <row r="194" spans="1:38">
      <c r="A194" s="13">
        <f t="shared" si="41"/>
        <v>187</v>
      </c>
      <c r="B194" s="123"/>
      <c r="C194" s="116"/>
      <c r="D194" s="116"/>
      <c r="E194" s="115"/>
      <c r="F194" s="116"/>
      <c r="G194" s="115"/>
      <c r="H194" s="117"/>
      <c r="I194" s="115"/>
      <c r="J194" s="115"/>
      <c r="K194" s="115"/>
      <c r="L194" s="115"/>
      <c r="M194" s="156">
        <f t="shared" si="42"/>
        <v>0</v>
      </c>
      <c r="N194" s="156"/>
      <c r="O194" s="156"/>
      <c r="P194" s="119">
        <f t="shared" si="43"/>
        <v>0</v>
      </c>
      <c r="Q194" s="115" t="e">
        <f t="shared" si="39"/>
        <v>#DIV/0!</v>
      </c>
      <c r="R194" s="160">
        <f t="shared" si="40"/>
        <v>0</v>
      </c>
      <c r="S194" s="160">
        <f t="shared" si="44"/>
        <v>0</v>
      </c>
      <c r="T194" s="120"/>
      <c r="U194" s="119"/>
      <c r="V194" s="115"/>
      <c r="W194" s="120"/>
      <c r="X194" s="120"/>
      <c r="Y194" s="158"/>
      <c r="Z194" s="160"/>
      <c r="AA194" s="160"/>
      <c r="AB194" s="160"/>
      <c r="AC194" s="160"/>
      <c r="AD194" s="119"/>
      <c r="AE194" s="115"/>
      <c r="AF194" s="115"/>
      <c r="AG194" s="115"/>
      <c r="AH194" s="115"/>
      <c r="AI194" s="115"/>
      <c r="AJ194" s="115"/>
      <c r="AK194" s="115"/>
      <c r="AL194" s="115"/>
    </row>
    <row r="195" spans="1:38">
      <c r="A195" s="13">
        <f t="shared" si="41"/>
        <v>188</v>
      </c>
      <c r="B195" s="123"/>
      <c r="C195" s="116"/>
      <c r="D195" s="116"/>
      <c r="E195" s="115"/>
      <c r="F195" s="116"/>
      <c r="G195" s="115"/>
      <c r="H195" s="117"/>
      <c r="I195" s="115"/>
      <c r="J195" s="115"/>
      <c r="K195" s="115"/>
      <c r="L195" s="115"/>
      <c r="M195" s="156">
        <f t="shared" si="42"/>
        <v>0</v>
      </c>
      <c r="N195" s="156"/>
      <c r="O195" s="156"/>
      <c r="P195" s="119">
        <f t="shared" si="43"/>
        <v>0</v>
      </c>
      <c r="Q195" s="115" t="e">
        <f t="shared" si="39"/>
        <v>#DIV/0!</v>
      </c>
      <c r="R195" s="160">
        <f t="shared" si="40"/>
        <v>0</v>
      </c>
      <c r="S195" s="160">
        <f t="shared" si="44"/>
        <v>0</v>
      </c>
      <c r="T195" s="120"/>
      <c r="U195" s="119"/>
      <c r="V195" s="115"/>
      <c r="W195" s="120"/>
      <c r="X195" s="120"/>
      <c r="Y195" s="158"/>
      <c r="Z195" s="160"/>
      <c r="AA195" s="160"/>
      <c r="AB195" s="160"/>
      <c r="AC195" s="160"/>
      <c r="AD195" s="119"/>
      <c r="AE195" s="115"/>
      <c r="AF195" s="115"/>
      <c r="AG195" s="115"/>
      <c r="AH195" s="115"/>
      <c r="AI195" s="115"/>
      <c r="AJ195" s="115"/>
      <c r="AK195" s="115"/>
      <c r="AL195" s="115"/>
    </row>
    <row r="196" spans="1:38">
      <c r="A196" s="13">
        <f t="shared" si="41"/>
        <v>189</v>
      </c>
      <c r="B196" s="123"/>
      <c r="C196" s="116"/>
      <c r="D196" s="116"/>
      <c r="E196" s="115"/>
      <c r="F196" s="116"/>
      <c r="G196" s="115"/>
      <c r="H196" s="117"/>
      <c r="I196" s="115"/>
      <c r="J196" s="115"/>
      <c r="K196" s="115"/>
      <c r="L196" s="115"/>
      <c r="M196" s="156">
        <f t="shared" si="42"/>
        <v>0</v>
      </c>
      <c r="N196" s="156"/>
      <c r="O196" s="156"/>
      <c r="P196" s="119">
        <f t="shared" si="43"/>
        <v>0</v>
      </c>
      <c r="Q196" s="115" t="e">
        <f t="shared" si="39"/>
        <v>#DIV/0!</v>
      </c>
      <c r="R196" s="160">
        <f t="shared" si="40"/>
        <v>0</v>
      </c>
      <c r="S196" s="160">
        <f t="shared" si="44"/>
        <v>0</v>
      </c>
      <c r="T196" s="120"/>
      <c r="U196" s="119"/>
      <c r="V196" s="115"/>
      <c r="W196" s="120"/>
      <c r="X196" s="120"/>
      <c r="Y196" s="158"/>
      <c r="Z196" s="160"/>
      <c r="AA196" s="160"/>
      <c r="AB196" s="160"/>
      <c r="AC196" s="160"/>
      <c r="AD196" s="119"/>
      <c r="AE196" s="115"/>
      <c r="AF196" s="115"/>
      <c r="AG196" s="115"/>
      <c r="AH196" s="115"/>
      <c r="AI196" s="115"/>
      <c r="AJ196" s="115"/>
      <c r="AK196" s="115"/>
      <c r="AL196" s="115"/>
    </row>
    <row r="197" spans="1:38">
      <c r="A197" s="13">
        <f t="shared" si="41"/>
        <v>190</v>
      </c>
      <c r="B197" s="123"/>
      <c r="C197" s="116"/>
      <c r="D197" s="116"/>
      <c r="E197" s="115"/>
      <c r="F197" s="116"/>
      <c r="G197" s="115"/>
      <c r="H197" s="117"/>
      <c r="I197" s="115"/>
      <c r="J197" s="115"/>
      <c r="K197" s="115"/>
      <c r="L197" s="115"/>
      <c r="M197" s="156">
        <f t="shared" si="42"/>
        <v>0</v>
      </c>
      <c r="N197" s="156"/>
      <c r="O197" s="156"/>
      <c r="P197" s="119">
        <f t="shared" si="43"/>
        <v>0</v>
      </c>
      <c r="Q197" s="115" t="e">
        <f t="shared" si="39"/>
        <v>#DIV/0!</v>
      </c>
      <c r="R197" s="160">
        <f t="shared" si="40"/>
        <v>0</v>
      </c>
      <c r="S197" s="160">
        <f t="shared" si="44"/>
        <v>0</v>
      </c>
      <c r="T197" s="120"/>
      <c r="U197" s="119"/>
      <c r="V197" s="115"/>
      <c r="W197" s="120"/>
      <c r="X197" s="120"/>
      <c r="Y197" s="158"/>
      <c r="Z197" s="160"/>
      <c r="AA197" s="160"/>
      <c r="AB197" s="160"/>
      <c r="AC197" s="160"/>
      <c r="AD197" s="119"/>
      <c r="AE197" s="115"/>
      <c r="AF197" s="115"/>
      <c r="AG197" s="115"/>
      <c r="AH197" s="115"/>
      <c r="AI197" s="115"/>
      <c r="AJ197" s="115"/>
      <c r="AK197" s="115"/>
      <c r="AL197" s="115"/>
    </row>
    <row r="198" spans="1:38">
      <c r="A198" s="13">
        <f t="shared" si="41"/>
        <v>191</v>
      </c>
      <c r="B198" s="123"/>
      <c r="C198" s="116"/>
      <c r="D198" s="116"/>
      <c r="E198" s="115"/>
      <c r="F198" s="116"/>
      <c r="G198" s="115"/>
      <c r="H198" s="117"/>
      <c r="I198" s="115"/>
      <c r="J198" s="115"/>
      <c r="K198" s="115"/>
      <c r="L198" s="115"/>
      <c r="M198" s="156">
        <f t="shared" si="42"/>
        <v>0</v>
      </c>
      <c r="N198" s="156"/>
      <c r="O198" s="156"/>
      <c r="P198" s="119">
        <f t="shared" si="43"/>
        <v>0</v>
      </c>
      <c r="Q198" s="115" t="e">
        <f t="shared" si="39"/>
        <v>#DIV/0!</v>
      </c>
      <c r="R198" s="160">
        <f t="shared" si="40"/>
        <v>0</v>
      </c>
      <c r="S198" s="160">
        <f t="shared" si="44"/>
        <v>0</v>
      </c>
      <c r="T198" s="120"/>
      <c r="U198" s="119"/>
      <c r="V198" s="115"/>
      <c r="W198" s="120"/>
      <c r="X198" s="120"/>
      <c r="Y198" s="158"/>
      <c r="Z198" s="160"/>
      <c r="AA198" s="160"/>
      <c r="AB198" s="160"/>
      <c r="AC198" s="160"/>
      <c r="AD198" s="119"/>
      <c r="AE198" s="115"/>
      <c r="AF198" s="115"/>
      <c r="AG198" s="115"/>
      <c r="AH198" s="115"/>
      <c r="AI198" s="115"/>
      <c r="AJ198" s="115"/>
      <c r="AK198" s="115"/>
      <c r="AL198" s="115"/>
    </row>
    <row r="199" spans="1:38">
      <c r="A199" s="13">
        <f t="shared" si="41"/>
        <v>192</v>
      </c>
      <c r="B199" s="123"/>
      <c r="C199" s="116"/>
      <c r="D199" s="116"/>
      <c r="E199" s="115"/>
      <c r="F199" s="116"/>
      <c r="G199" s="115"/>
      <c r="H199" s="117"/>
      <c r="I199" s="115"/>
      <c r="J199" s="115"/>
      <c r="K199" s="115"/>
      <c r="L199" s="115"/>
      <c r="M199" s="156">
        <f t="shared" si="42"/>
        <v>0</v>
      </c>
      <c r="N199" s="156"/>
      <c r="O199" s="156"/>
      <c r="P199" s="119">
        <f t="shared" si="43"/>
        <v>0</v>
      </c>
      <c r="Q199" s="115" t="e">
        <f t="shared" si="39"/>
        <v>#DIV/0!</v>
      </c>
      <c r="R199" s="160">
        <f t="shared" si="40"/>
        <v>0</v>
      </c>
      <c r="S199" s="160">
        <f t="shared" si="44"/>
        <v>0</v>
      </c>
      <c r="T199" s="120"/>
      <c r="U199" s="119"/>
      <c r="V199" s="115"/>
      <c r="W199" s="120"/>
      <c r="X199" s="120"/>
      <c r="Y199" s="158"/>
      <c r="Z199" s="160"/>
      <c r="AA199" s="160"/>
      <c r="AB199" s="160"/>
      <c r="AC199" s="160"/>
      <c r="AD199" s="119"/>
      <c r="AE199" s="115"/>
      <c r="AF199" s="115"/>
      <c r="AG199" s="115"/>
      <c r="AH199" s="115"/>
      <c r="AI199" s="115"/>
      <c r="AJ199" s="115"/>
      <c r="AK199" s="115"/>
      <c r="AL199" s="115"/>
    </row>
    <row r="200" spans="1:38">
      <c r="A200" s="13">
        <f t="shared" si="41"/>
        <v>193</v>
      </c>
      <c r="B200" s="123"/>
      <c r="C200" s="116"/>
      <c r="D200" s="116"/>
      <c r="E200" s="115"/>
      <c r="F200" s="116"/>
      <c r="G200" s="115"/>
      <c r="H200" s="117"/>
      <c r="I200" s="115"/>
      <c r="J200" s="115"/>
      <c r="K200" s="115"/>
      <c r="L200" s="115"/>
      <c r="M200" s="156">
        <f t="shared" si="42"/>
        <v>0</v>
      </c>
      <c r="N200" s="156"/>
      <c r="O200" s="156"/>
      <c r="P200" s="119">
        <f t="shared" si="43"/>
        <v>0</v>
      </c>
      <c r="Q200" s="115" t="e">
        <f t="shared" ref="Q200:Q263" si="45">K200/$J200</f>
        <v>#DIV/0!</v>
      </c>
      <c r="R200" s="160">
        <f t="shared" ref="R200:R263" si="46">$J200*$I200</f>
        <v>0</v>
      </c>
      <c r="S200" s="160">
        <f t="shared" si="44"/>
        <v>0</v>
      </c>
      <c r="T200" s="120"/>
      <c r="U200" s="119"/>
      <c r="V200" s="115"/>
      <c r="W200" s="120"/>
      <c r="X200" s="120"/>
      <c r="Y200" s="158"/>
      <c r="Z200" s="160"/>
      <c r="AA200" s="160"/>
      <c r="AB200" s="160"/>
      <c r="AC200" s="160"/>
      <c r="AD200" s="119"/>
      <c r="AE200" s="115"/>
      <c r="AF200" s="115"/>
      <c r="AG200" s="115"/>
      <c r="AH200" s="115"/>
      <c r="AI200" s="115"/>
      <c r="AJ200" s="115"/>
      <c r="AK200" s="115"/>
      <c r="AL200" s="115"/>
    </row>
    <row r="201" spans="1:38">
      <c r="A201" s="13">
        <f t="shared" ref="A201:A264" si="47">A200+1</f>
        <v>194</v>
      </c>
      <c r="B201" s="123"/>
      <c r="C201" s="116"/>
      <c r="D201" s="116"/>
      <c r="E201" s="115"/>
      <c r="F201" s="116"/>
      <c r="G201" s="115"/>
      <c r="H201" s="117"/>
      <c r="I201" s="115"/>
      <c r="J201" s="115"/>
      <c r="K201" s="115"/>
      <c r="L201" s="115"/>
      <c r="M201" s="156">
        <f t="shared" si="42"/>
        <v>0</v>
      </c>
      <c r="N201" s="156"/>
      <c r="O201" s="156"/>
      <c r="P201" s="119">
        <f t="shared" si="43"/>
        <v>0</v>
      </c>
      <c r="Q201" s="115" t="e">
        <f t="shared" si="45"/>
        <v>#DIV/0!</v>
      </c>
      <c r="R201" s="160">
        <f t="shared" si="46"/>
        <v>0</v>
      </c>
      <c r="S201" s="160">
        <f t="shared" si="44"/>
        <v>0</v>
      </c>
      <c r="T201" s="120"/>
      <c r="U201" s="119"/>
      <c r="V201" s="115"/>
      <c r="W201" s="120"/>
      <c r="X201" s="120"/>
      <c r="Y201" s="158"/>
      <c r="Z201" s="160"/>
      <c r="AA201" s="160"/>
      <c r="AB201" s="160"/>
      <c r="AC201" s="160"/>
      <c r="AD201" s="119"/>
      <c r="AE201" s="115"/>
      <c r="AF201" s="115"/>
      <c r="AG201" s="115"/>
      <c r="AH201" s="115"/>
      <c r="AI201" s="115"/>
      <c r="AJ201" s="115"/>
      <c r="AK201" s="115"/>
      <c r="AL201" s="115"/>
    </row>
    <row r="202" spans="1:38">
      <c r="A202" s="13">
        <f t="shared" si="47"/>
        <v>195</v>
      </c>
      <c r="B202" s="123"/>
      <c r="C202" s="116"/>
      <c r="D202" s="116"/>
      <c r="E202" s="115"/>
      <c r="F202" s="116"/>
      <c r="G202" s="115"/>
      <c r="H202" s="117"/>
      <c r="I202" s="115"/>
      <c r="J202" s="115"/>
      <c r="K202" s="115"/>
      <c r="L202" s="115"/>
      <c r="M202" s="156">
        <f t="shared" si="42"/>
        <v>0</v>
      </c>
      <c r="N202" s="156"/>
      <c r="O202" s="156"/>
      <c r="P202" s="119">
        <f t="shared" si="43"/>
        <v>0</v>
      </c>
      <c r="Q202" s="115" t="e">
        <f t="shared" si="45"/>
        <v>#DIV/0!</v>
      </c>
      <c r="R202" s="160">
        <f t="shared" si="46"/>
        <v>0</v>
      </c>
      <c r="S202" s="160">
        <f t="shared" si="44"/>
        <v>0</v>
      </c>
      <c r="T202" s="120"/>
      <c r="U202" s="119"/>
      <c r="V202" s="115"/>
      <c r="W202" s="120"/>
      <c r="X202" s="120"/>
      <c r="Y202" s="158"/>
      <c r="Z202" s="160"/>
      <c r="AA202" s="160"/>
      <c r="AB202" s="160"/>
      <c r="AC202" s="160"/>
      <c r="AD202" s="119"/>
      <c r="AE202" s="115"/>
      <c r="AF202" s="115"/>
      <c r="AG202" s="115"/>
      <c r="AH202" s="115"/>
      <c r="AI202" s="115"/>
      <c r="AJ202" s="115"/>
      <c r="AK202" s="115"/>
      <c r="AL202" s="115"/>
    </row>
    <row r="203" spans="1:38">
      <c r="A203" s="13">
        <f t="shared" si="47"/>
        <v>196</v>
      </c>
      <c r="B203" s="123"/>
      <c r="C203" s="116"/>
      <c r="D203" s="116"/>
      <c r="E203" s="115"/>
      <c r="F203" s="116"/>
      <c r="G203" s="115"/>
      <c r="H203" s="117"/>
      <c r="I203" s="115"/>
      <c r="J203" s="115"/>
      <c r="K203" s="115"/>
      <c r="L203" s="115"/>
      <c r="M203" s="156">
        <f t="shared" si="42"/>
        <v>0</v>
      </c>
      <c r="N203" s="156"/>
      <c r="O203" s="156"/>
      <c r="P203" s="119">
        <f t="shared" si="43"/>
        <v>0</v>
      </c>
      <c r="Q203" s="115" t="e">
        <f t="shared" si="45"/>
        <v>#DIV/0!</v>
      </c>
      <c r="R203" s="160">
        <f t="shared" si="46"/>
        <v>0</v>
      </c>
      <c r="S203" s="160">
        <f t="shared" si="44"/>
        <v>0</v>
      </c>
      <c r="T203" s="120"/>
      <c r="U203" s="119"/>
      <c r="V203" s="115"/>
      <c r="W203" s="120"/>
      <c r="X203" s="120"/>
      <c r="Y203" s="158"/>
      <c r="Z203" s="160"/>
      <c r="AA203" s="160"/>
      <c r="AB203" s="160"/>
      <c r="AC203" s="160"/>
      <c r="AD203" s="119"/>
      <c r="AE203" s="115"/>
      <c r="AF203" s="115"/>
      <c r="AG203" s="115"/>
      <c r="AH203" s="115"/>
      <c r="AI203" s="115"/>
      <c r="AJ203" s="115"/>
      <c r="AK203" s="115"/>
      <c r="AL203" s="115"/>
    </row>
    <row r="204" spans="1:38">
      <c r="A204" s="13">
        <f t="shared" si="47"/>
        <v>197</v>
      </c>
      <c r="B204" s="123"/>
      <c r="C204" s="116"/>
      <c r="D204" s="116"/>
      <c r="E204" s="115"/>
      <c r="F204" s="116"/>
      <c r="G204" s="115"/>
      <c r="H204" s="117"/>
      <c r="I204" s="115"/>
      <c r="J204" s="115"/>
      <c r="K204" s="115"/>
      <c r="L204" s="115"/>
      <c r="M204" s="156">
        <f t="shared" si="42"/>
        <v>0</v>
      </c>
      <c r="N204" s="156"/>
      <c r="O204" s="156"/>
      <c r="P204" s="119">
        <f t="shared" si="43"/>
        <v>0</v>
      </c>
      <c r="Q204" s="115" t="e">
        <f t="shared" si="45"/>
        <v>#DIV/0!</v>
      </c>
      <c r="R204" s="160">
        <f t="shared" si="46"/>
        <v>0</v>
      </c>
      <c r="S204" s="160">
        <f t="shared" si="44"/>
        <v>0</v>
      </c>
      <c r="T204" s="120"/>
      <c r="U204" s="119"/>
      <c r="V204" s="115"/>
      <c r="W204" s="120"/>
      <c r="X204" s="120"/>
      <c r="Y204" s="158"/>
      <c r="Z204" s="160"/>
      <c r="AA204" s="160"/>
      <c r="AB204" s="160"/>
      <c r="AC204" s="160"/>
      <c r="AD204" s="119"/>
      <c r="AE204" s="115"/>
      <c r="AF204" s="115"/>
      <c r="AG204" s="115"/>
      <c r="AH204" s="115"/>
      <c r="AI204" s="115"/>
      <c r="AJ204" s="115"/>
      <c r="AK204" s="115"/>
      <c r="AL204" s="115"/>
    </row>
    <row r="205" spans="1:38">
      <c r="A205" s="13">
        <f t="shared" si="47"/>
        <v>198</v>
      </c>
      <c r="B205" s="123"/>
      <c r="C205" s="116"/>
      <c r="D205" s="116"/>
      <c r="E205" s="115"/>
      <c r="F205" s="116"/>
      <c r="G205" s="115"/>
      <c r="H205" s="117"/>
      <c r="I205" s="115"/>
      <c r="J205" s="115"/>
      <c r="K205" s="115"/>
      <c r="L205" s="115"/>
      <c r="M205" s="156">
        <f t="shared" si="42"/>
        <v>0</v>
      </c>
      <c r="N205" s="156"/>
      <c r="O205" s="156"/>
      <c r="P205" s="119">
        <f t="shared" si="43"/>
        <v>0</v>
      </c>
      <c r="Q205" s="115" t="e">
        <f t="shared" si="45"/>
        <v>#DIV/0!</v>
      </c>
      <c r="R205" s="160">
        <f t="shared" si="46"/>
        <v>0</v>
      </c>
      <c r="S205" s="160">
        <f t="shared" si="44"/>
        <v>0</v>
      </c>
      <c r="T205" s="120"/>
      <c r="U205" s="119"/>
      <c r="V205" s="115"/>
      <c r="W205" s="120"/>
      <c r="X205" s="120"/>
      <c r="Y205" s="158"/>
      <c r="Z205" s="160"/>
      <c r="AA205" s="160"/>
      <c r="AB205" s="160"/>
      <c r="AC205" s="160"/>
      <c r="AD205" s="119"/>
      <c r="AE205" s="115"/>
      <c r="AF205" s="115"/>
      <c r="AG205" s="115"/>
      <c r="AH205" s="115"/>
      <c r="AI205" s="115"/>
      <c r="AJ205" s="115"/>
      <c r="AK205" s="115"/>
      <c r="AL205" s="115"/>
    </row>
    <row r="206" spans="1:38">
      <c r="A206" s="13">
        <f t="shared" si="47"/>
        <v>199</v>
      </c>
      <c r="B206" s="123"/>
      <c r="C206" s="116"/>
      <c r="D206" s="116"/>
      <c r="E206" s="115"/>
      <c r="F206" s="116"/>
      <c r="G206" s="115"/>
      <c r="H206" s="117"/>
      <c r="I206" s="115"/>
      <c r="J206" s="115"/>
      <c r="K206" s="115"/>
      <c r="L206" s="115"/>
      <c r="M206" s="156">
        <f t="shared" si="42"/>
        <v>0</v>
      </c>
      <c r="N206" s="156"/>
      <c r="O206" s="156"/>
      <c r="P206" s="119">
        <f t="shared" si="43"/>
        <v>0</v>
      </c>
      <c r="Q206" s="115" t="e">
        <f t="shared" si="45"/>
        <v>#DIV/0!</v>
      </c>
      <c r="R206" s="160">
        <f t="shared" si="46"/>
        <v>0</v>
      </c>
      <c r="S206" s="160">
        <f t="shared" si="44"/>
        <v>0</v>
      </c>
      <c r="T206" s="120"/>
      <c r="U206" s="119"/>
      <c r="V206" s="115"/>
      <c r="W206" s="120"/>
      <c r="X206" s="120"/>
      <c r="Y206" s="158"/>
      <c r="Z206" s="160"/>
      <c r="AA206" s="160"/>
      <c r="AB206" s="160"/>
      <c r="AC206" s="160"/>
      <c r="AD206" s="119"/>
      <c r="AE206" s="115"/>
      <c r="AF206" s="115"/>
      <c r="AG206" s="115"/>
      <c r="AH206" s="115"/>
      <c r="AI206" s="115"/>
      <c r="AJ206" s="115"/>
      <c r="AK206" s="115"/>
      <c r="AL206" s="115"/>
    </row>
    <row r="207" spans="1:38">
      <c r="A207" s="13">
        <f t="shared" si="47"/>
        <v>200</v>
      </c>
      <c r="B207" s="123"/>
      <c r="C207" s="116"/>
      <c r="D207" s="116"/>
      <c r="E207" s="115"/>
      <c r="F207" s="116"/>
      <c r="G207" s="115"/>
      <c r="H207" s="117"/>
      <c r="I207" s="115"/>
      <c r="J207" s="115"/>
      <c r="K207" s="115"/>
      <c r="L207" s="115"/>
      <c r="M207" s="156">
        <f t="shared" si="42"/>
        <v>0</v>
      </c>
      <c r="N207" s="156"/>
      <c r="O207" s="156"/>
      <c r="P207" s="119">
        <f t="shared" si="43"/>
        <v>0</v>
      </c>
      <c r="Q207" s="115" t="e">
        <f t="shared" si="45"/>
        <v>#DIV/0!</v>
      </c>
      <c r="R207" s="160">
        <f t="shared" si="46"/>
        <v>0</v>
      </c>
      <c r="S207" s="160">
        <f t="shared" si="44"/>
        <v>0</v>
      </c>
      <c r="T207" s="120"/>
      <c r="U207" s="119"/>
      <c r="V207" s="115"/>
      <c r="W207" s="120"/>
      <c r="X207" s="120"/>
      <c r="Y207" s="158"/>
      <c r="Z207" s="160"/>
      <c r="AA207" s="160"/>
      <c r="AB207" s="160"/>
      <c r="AC207" s="160"/>
      <c r="AD207" s="119"/>
      <c r="AE207" s="115"/>
      <c r="AF207" s="115"/>
      <c r="AG207" s="115"/>
      <c r="AH207" s="115"/>
      <c r="AI207" s="115"/>
      <c r="AJ207" s="115"/>
      <c r="AK207" s="115"/>
      <c r="AL207" s="115"/>
    </row>
    <row r="208" spans="1:38">
      <c r="A208" s="13">
        <f t="shared" si="47"/>
        <v>201</v>
      </c>
      <c r="B208" s="123"/>
      <c r="C208" s="116"/>
      <c r="D208" s="116"/>
      <c r="E208" s="115"/>
      <c r="F208" s="116"/>
      <c r="G208" s="115"/>
      <c r="H208" s="117"/>
      <c r="I208" s="115"/>
      <c r="J208" s="115"/>
      <c r="K208" s="115"/>
      <c r="L208" s="115"/>
      <c r="M208" s="156">
        <f t="shared" si="42"/>
        <v>0</v>
      </c>
      <c r="N208" s="156"/>
      <c r="O208" s="156"/>
      <c r="P208" s="119">
        <f t="shared" si="43"/>
        <v>0</v>
      </c>
      <c r="Q208" s="115" t="e">
        <f t="shared" si="45"/>
        <v>#DIV/0!</v>
      </c>
      <c r="R208" s="160">
        <f t="shared" si="46"/>
        <v>0</v>
      </c>
      <c r="S208" s="160">
        <f t="shared" si="44"/>
        <v>0</v>
      </c>
      <c r="T208" s="120"/>
      <c r="U208" s="119"/>
      <c r="V208" s="115"/>
      <c r="W208" s="120"/>
      <c r="X208" s="120"/>
      <c r="Y208" s="158"/>
      <c r="Z208" s="160"/>
      <c r="AA208" s="160"/>
      <c r="AB208" s="160"/>
      <c r="AC208" s="160"/>
      <c r="AD208" s="119"/>
      <c r="AE208" s="115"/>
      <c r="AF208" s="115"/>
      <c r="AG208" s="115"/>
      <c r="AH208" s="115"/>
      <c r="AI208" s="115"/>
      <c r="AJ208" s="115"/>
      <c r="AK208" s="115"/>
      <c r="AL208" s="115"/>
    </row>
    <row r="209" spans="1:38">
      <c r="A209" s="13">
        <f t="shared" si="47"/>
        <v>202</v>
      </c>
      <c r="B209" s="123"/>
      <c r="C209" s="116"/>
      <c r="D209" s="116"/>
      <c r="E209" s="115"/>
      <c r="F209" s="116"/>
      <c r="G209" s="115"/>
      <c r="H209" s="117"/>
      <c r="I209" s="115"/>
      <c r="J209" s="115"/>
      <c r="K209" s="115"/>
      <c r="L209" s="115"/>
      <c r="M209" s="156">
        <f t="shared" si="42"/>
        <v>0</v>
      </c>
      <c r="N209" s="156"/>
      <c r="O209" s="156"/>
      <c r="P209" s="119">
        <f t="shared" si="43"/>
        <v>0</v>
      </c>
      <c r="Q209" s="115" t="e">
        <f t="shared" si="45"/>
        <v>#DIV/0!</v>
      </c>
      <c r="R209" s="160">
        <f t="shared" si="46"/>
        <v>0</v>
      </c>
      <c r="S209" s="160">
        <f t="shared" si="44"/>
        <v>0</v>
      </c>
      <c r="T209" s="120"/>
      <c r="U209" s="119"/>
      <c r="V209" s="115"/>
      <c r="W209" s="120"/>
      <c r="X209" s="120"/>
      <c r="Y209" s="158"/>
      <c r="Z209" s="160"/>
      <c r="AA209" s="160"/>
      <c r="AB209" s="160"/>
      <c r="AC209" s="160"/>
      <c r="AD209" s="119"/>
      <c r="AE209" s="115"/>
      <c r="AF209" s="115"/>
      <c r="AG209" s="115"/>
      <c r="AH209" s="115"/>
      <c r="AI209" s="115"/>
      <c r="AJ209" s="115"/>
      <c r="AK209" s="115"/>
      <c r="AL209" s="115"/>
    </row>
    <row r="210" spans="1:38">
      <c r="A210" s="13">
        <f t="shared" si="47"/>
        <v>203</v>
      </c>
      <c r="B210" s="123"/>
      <c r="C210" s="116"/>
      <c r="D210" s="116"/>
      <c r="E210" s="115"/>
      <c r="F210" s="116"/>
      <c r="G210" s="115"/>
      <c r="H210" s="117"/>
      <c r="I210" s="115"/>
      <c r="J210" s="115"/>
      <c r="K210" s="115"/>
      <c r="L210" s="115"/>
      <c r="M210" s="156">
        <f t="shared" si="42"/>
        <v>0</v>
      </c>
      <c r="N210" s="156"/>
      <c r="O210" s="156"/>
      <c r="P210" s="119">
        <f t="shared" si="43"/>
        <v>0</v>
      </c>
      <c r="Q210" s="115" t="e">
        <f t="shared" si="45"/>
        <v>#DIV/0!</v>
      </c>
      <c r="R210" s="160">
        <f t="shared" si="46"/>
        <v>0</v>
      </c>
      <c r="S210" s="160">
        <f t="shared" si="44"/>
        <v>0</v>
      </c>
      <c r="T210" s="120"/>
      <c r="U210" s="119"/>
      <c r="V210" s="115"/>
      <c r="W210" s="120"/>
      <c r="X210" s="120"/>
      <c r="Y210" s="158"/>
      <c r="Z210" s="160"/>
      <c r="AA210" s="160"/>
      <c r="AB210" s="160"/>
      <c r="AC210" s="160"/>
      <c r="AD210" s="119"/>
      <c r="AE210" s="115"/>
      <c r="AF210" s="115"/>
      <c r="AG210" s="115"/>
      <c r="AH210" s="115"/>
      <c r="AI210" s="115"/>
      <c r="AJ210" s="115"/>
      <c r="AK210" s="115"/>
      <c r="AL210" s="115"/>
    </row>
    <row r="211" spans="1:38">
      <c r="A211" s="13">
        <f t="shared" si="47"/>
        <v>204</v>
      </c>
      <c r="B211" s="123"/>
      <c r="C211" s="116"/>
      <c r="D211" s="116"/>
      <c r="E211" s="115"/>
      <c r="F211" s="116"/>
      <c r="G211" s="115"/>
      <c r="H211" s="117"/>
      <c r="I211" s="115"/>
      <c r="J211" s="115"/>
      <c r="K211" s="115"/>
      <c r="L211" s="115"/>
      <c r="M211" s="156">
        <f t="shared" si="42"/>
        <v>0</v>
      </c>
      <c r="N211" s="156"/>
      <c r="O211" s="156"/>
      <c r="P211" s="119">
        <f t="shared" si="43"/>
        <v>0</v>
      </c>
      <c r="Q211" s="115" t="e">
        <f t="shared" si="45"/>
        <v>#DIV/0!</v>
      </c>
      <c r="R211" s="160">
        <f t="shared" si="46"/>
        <v>0</v>
      </c>
      <c r="S211" s="160">
        <f t="shared" si="44"/>
        <v>0</v>
      </c>
      <c r="T211" s="120"/>
      <c r="U211" s="119"/>
      <c r="V211" s="115"/>
      <c r="W211" s="120"/>
      <c r="X211" s="120"/>
      <c r="Y211" s="158"/>
      <c r="Z211" s="160"/>
      <c r="AA211" s="160"/>
      <c r="AB211" s="160"/>
      <c r="AC211" s="160"/>
      <c r="AD211" s="119"/>
      <c r="AE211" s="115"/>
      <c r="AF211" s="115"/>
      <c r="AG211" s="115"/>
      <c r="AH211" s="115"/>
      <c r="AI211" s="115"/>
      <c r="AJ211" s="115"/>
      <c r="AK211" s="115"/>
      <c r="AL211" s="115"/>
    </row>
    <row r="212" spans="1:38">
      <c r="A212" s="13">
        <f t="shared" si="47"/>
        <v>205</v>
      </c>
      <c r="B212" s="123"/>
      <c r="C212" s="116"/>
      <c r="D212" s="116"/>
      <c r="E212" s="115"/>
      <c r="F212" s="116"/>
      <c r="G212" s="115"/>
      <c r="H212" s="117"/>
      <c r="I212" s="115"/>
      <c r="J212" s="115"/>
      <c r="K212" s="115"/>
      <c r="L212" s="115"/>
      <c r="M212" s="156">
        <f t="shared" si="42"/>
        <v>0</v>
      </c>
      <c r="N212" s="156"/>
      <c r="O212" s="156"/>
      <c r="P212" s="119">
        <f t="shared" si="43"/>
        <v>0</v>
      </c>
      <c r="Q212" s="115" t="e">
        <f t="shared" si="45"/>
        <v>#DIV/0!</v>
      </c>
      <c r="R212" s="160">
        <f t="shared" si="46"/>
        <v>0</v>
      </c>
      <c r="S212" s="160">
        <f t="shared" si="44"/>
        <v>0</v>
      </c>
      <c r="T212" s="120"/>
      <c r="U212" s="119"/>
      <c r="V212" s="115"/>
      <c r="W212" s="120"/>
      <c r="X212" s="120"/>
      <c r="Y212" s="158"/>
      <c r="Z212" s="160"/>
      <c r="AA212" s="160"/>
      <c r="AB212" s="160"/>
      <c r="AC212" s="160"/>
      <c r="AD212" s="119"/>
      <c r="AE212" s="115"/>
      <c r="AF212" s="115"/>
      <c r="AG212" s="115"/>
      <c r="AH212" s="115"/>
      <c r="AI212" s="115"/>
      <c r="AJ212" s="115"/>
      <c r="AK212" s="115"/>
      <c r="AL212" s="115"/>
    </row>
    <row r="213" spans="1:38">
      <c r="A213" s="13">
        <f t="shared" si="47"/>
        <v>206</v>
      </c>
      <c r="B213" s="123"/>
      <c r="C213" s="116"/>
      <c r="D213" s="116"/>
      <c r="E213" s="115"/>
      <c r="F213" s="116"/>
      <c r="G213" s="115"/>
      <c r="H213" s="117"/>
      <c r="I213" s="115"/>
      <c r="J213" s="115"/>
      <c r="K213" s="115"/>
      <c r="L213" s="115"/>
      <c r="M213" s="156">
        <f t="shared" si="42"/>
        <v>0</v>
      </c>
      <c r="N213" s="156"/>
      <c r="O213" s="156"/>
      <c r="P213" s="119">
        <f t="shared" si="43"/>
        <v>0</v>
      </c>
      <c r="Q213" s="115" t="e">
        <f t="shared" si="45"/>
        <v>#DIV/0!</v>
      </c>
      <c r="R213" s="160">
        <f t="shared" si="46"/>
        <v>0</v>
      </c>
      <c r="S213" s="160">
        <f t="shared" si="44"/>
        <v>0</v>
      </c>
      <c r="T213" s="120"/>
      <c r="U213" s="119"/>
      <c r="V213" s="115"/>
      <c r="W213" s="120"/>
      <c r="X213" s="120"/>
      <c r="Y213" s="158"/>
      <c r="Z213" s="160"/>
      <c r="AA213" s="160"/>
      <c r="AB213" s="160"/>
      <c r="AC213" s="160"/>
      <c r="AD213" s="119"/>
      <c r="AE213" s="115"/>
      <c r="AF213" s="115"/>
      <c r="AG213" s="115"/>
      <c r="AH213" s="115"/>
      <c r="AI213" s="115"/>
      <c r="AJ213" s="115"/>
      <c r="AK213" s="115"/>
      <c r="AL213" s="115"/>
    </row>
    <row r="214" spans="1:38">
      <c r="A214" s="13">
        <f t="shared" si="47"/>
        <v>207</v>
      </c>
      <c r="B214" s="123"/>
      <c r="C214" s="116"/>
      <c r="D214" s="116"/>
      <c r="E214" s="115"/>
      <c r="F214" s="116"/>
      <c r="G214" s="115"/>
      <c r="H214" s="117"/>
      <c r="I214" s="115"/>
      <c r="J214" s="115"/>
      <c r="K214" s="115"/>
      <c r="L214" s="115"/>
      <c r="M214" s="156">
        <f t="shared" si="42"/>
        <v>0</v>
      </c>
      <c r="N214" s="156"/>
      <c r="O214" s="156"/>
      <c r="P214" s="119">
        <f t="shared" si="43"/>
        <v>0</v>
      </c>
      <c r="Q214" s="115" t="e">
        <f t="shared" si="45"/>
        <v>#DIV/0!</v>
      </c>
      <c r="R214" s="160">
        <f t="shared" si="46"/>
        <v>0</v>
      </c>
      <c r="S214" s="160">
        <f t="shared" si="44"/>
        <v>0</v>
      </c>
      <c r="T214" s="120"/>
      <c r="U214" s="119"/>
      <c r="V214" s="115"/>
      <c r="W214" s="120"/>
      <c r="X214" s="120"/>
      <c r="Y214" s="158"/>
      <c r="Z214" s="160"/>
      <c r="AA214" s="160"/>
      <c r="AB214" s="160"/>
      <c r="AC214" s="160"/>
      <c r="AD214" s="119"/>
      <c r="AE214" s="115"/>
      <c r="AF214" s="115"/>
      <c r="AG214" s="115"/>
      <c r="AH214" s="115"/>
      <c r="AI214" s="115"/>
      <c r="AJ214" s="115"/>
      <c r="AK214" s="115"/>
      <c r="AL214" s="115"/>
    </row>
    <row r="215" spans="1:38">
      <c r="A215" s="13">
        <f t="shared" si="47"/>
        <v>208</v>
      </c>
      <c r="B215" s="123"/>
      <c r="C215" s="116"/>
      <c r="D215" s="116"/>
      <c r="E215" s="115"/>
      <c r="F215" s="116"/>
      <c r="G215" s="115"/>
      <c r="H215" s="117"/>
      <c r="I215" s="115"/>
      <c r="J215" s="115"/>
      <c r="K215" s="115"/>
      <c r="L215" s="115"/>
      <c r="M215" s="156">
        <f t="shared" si="42"/>
        <v>0</v>
      </c>
      <c r="N215" s="156"/>
      <c r="O215" s="156"/>
      <c r="P215" s="119">
        <f t="shared" si="43"/>
        <v>0</v>
      </c>
      <c r="Q215" s="115" t="e">
        <f t="shared" si="45"/>
        <v>#DIV/0!</v>
      </c>
      <c r="R215" s="160">
        <f t="shared" si="46"/>
        <v>0</v>
      </c>
      <c r="S215" s="160">
        <f t="shared" si="44"/>
        <v>0</v>
      </c>
      <c r="T215" s="120"/>
      <c r="U215" s="119"/>
      <c r="V215" s="115"/>
      <c r="W215" s="120"/>
      <c r="X215" s="120"/>
      <c r="Y215" s="158"/>
      <c r="Z215" s="160"/>
      <c r="AA215" s="160"/>
      <c r="AB215" s="160"/>
      <c r="AC215" s="160"/>
      <c r="AD215" s="119"/>
      <c r="AE215" s="115"/>
      <c r="AF215" s="115"/>
      <c r="AG215" s="115"/>
      <c r="AH215" s="115"/>
      <c r="AI215" s="115"/>
      <c r="AJ215" s="115"/>
      <c r="AK215" s="115"/>
      <c r="AL215" s="115"/>
    </row>
    <row r="216" spans="1:38">
      <c r="A216" s="13">
        <f t="shared" si="47"/>
        <v>209</v>
      </c>
      <c r="B216" s="123"/>
      <c r="C216" s="116"/>
      <c r="D216" s="116"/>
      <c r="E216" s="115"/>
      <c r="F216" s="116"/>
      <c r="G216" s="115"/>
      <c r="H216" s="117"/>
      <c r="I216" s="115"/>
      <c r="J216" s="115"/>
      <c r="K216" s="115"/>
      <c r="L216" s="115"/>
      <c r="M216" s="156">
        <f t="shared" si="42"/>
        <v>0</v>
      </c>
      <c r="N216" s="156"/>
      <c r="O216" s="156"/>
      <c r="P216" s="119">
        <f t="shared" si="43"/>
        <v>0</v>
      </c>
      <c r="Q216" s="115" t="e">
        <f t="shared" si="45"/>
        <v>#DIV/0!</v>
      </c>
      <c r="R216" s="160">
        <f t="shared" si="46"/>
        <v>0</v>
      </c>
      <c r="S216" s="160">
        <f t="shared" si="44"/>
        <v>0</v>
      </c>
      <c r="T216" s="120"/>
      <c r="U216" s="119"/>
      <c r="V216" s="115"/>
      <c r="W216" s="120"/>
      <c r="X216" s="120"/>
      <c r="Y216" s="158"/>
      <c r="Z216" s="160"/>
      <c r="AA216" s="160"/>
      <c r="AB216" s="160"/>
      <c r="AC216" s="160"/>
      <c r="AD216" s="119"/>
      <c r="AE216" s="115"/>
      <c r="AF216" s="115"/>
      <c r="AG216" s="115"/>
      <c r="AH216" s="115"/>
      <c r="AI216" s="115"/>
      <c r="AJ216" s="115"/>
      <c r="AK216" s="115"/>
      <c r="AL216" s="115"/>
    </row>
    <row r="217" spans="1:38">
      <c r="A217" s="13">
        <f t="shared" si="47"/>
        <v>210</v>
      </c>
      <c r="B217" s="123"/>
      <c r="C217" s="116"/>
      <c r="D217" s="116"/>
      <c r="E217" s="115"/>
      <c r="F217" s="116"/>
      <c r="G217" s="115"/>
      <c r="H217" s="117"/>
      <c r="I217" s="115"/>
      <c r="J217" s="115"/>
      <c r="K217" s="115"/>
      <c r="L217" s="115"/>
      <c r="M217" s="156">
        <f t="shared" si="42"/>
        <v>0</v>
      </c>
      <c r="N217" s="156"/>
      <c r="O217" s="156"/>
      <c r="P217" s="119">
        <f t="shared" si="43"/>
        <v>0</v>
      </c>
      <c r="Q217" s="115" t="e">
        <f t="shared" si="45"/>
        <v>#DIV/0!</v>
      </c>
      <c r="R217" s="160">
        <f t="shared" si="46"/>
        <v>0</v>
      </c>
      <c r="S217" s="160">
        <f t="shared" si="44"/>
        <v>0</v>
      </c>
      <c r="T217" s="120"/>
      <c r="U217" s="119"/>
      <c r="V217" s="115"/>
      <c r="W217" s="120"/>
      <c r="X217" s="120"/>
      <c r="Y217" s="158"/>
      <c r="Z217" s="160"/>
      <c r="AA217" s="160"/>
      <c r="AB217" s="160"/>
      <c r="AC217" s="160"/>
      <c r="AD217" s="119"/>
      <c r="AE217" s="115"/>
      <c r="AF217" s="115"/>
      <c r="AG217" s="115"/>
      <c r="AH217" s="115"/>
      <c r="AI217" s="115"/>
      <c r="AJ217" s="115"/>
      <c r="AK217" s="115"/>
      <c r="AL217" s="115"/>
    </row>
    <row r="218" spans="1:38">
      <c r="A218" s="13">
        <f t="shared" si="47"/>
        <v>211</v>
      </c>
      <c r="B218" s="123"/>
      <c r="C218" s="116"/>
      <c r="D218" s="116"/>
      <c r="E218" s="115"/>
      <c r="F218" s="116"/>
      <c r="G218" s="115"/>
      <c r="H218" s="117"/>
      <c r="I218" s="115"/>
      <c r="J218" s="115"/>
      <c r="K218" s="115"/>
      <c r="L218" s="115"/>
      <c r="M218" s="156">
        <f t="shared" si="42"/>
        <v>0</v>
      </c>
      <c r="N218" s="156"/>
      <c r="O218" s="156"/>
      <c r="P218" s="119">
        <f t="shared" si="43"/>
        <v>0</v>
      </c>
      <c r="Q218" s="115" t="e">
        <f t="shared" si="45"/>
        <v>#DIV/0!</v>
      </c>
      <c r="R218" s="160">
        <f t="shared" si="46"/>
        <v>0</v>
      </c>
      <c r="S218" s="160">
        <f t="shared" si="44"/>
        <v>0</v>
      </c>
      <c r="T218" s="120"/>
      <c r="U218" s="119"/>
      <c r="V218" s="115"/>
      <c r="W218" s="120"/>
      <c r="X218" s="120"/>
      <c r="Y218" s="158"/>
      <c r="Z218" s="160"/>
      <c r="AA218" s="160"/>
      <c r="AB218" s="160"/>
      <c r="AC218" s="160"/>
      <c r="AD218" s="119"/>
      <c r="AE218" s="115"/>
      <c r="AF218" s="115"/>
      <c r="AG218" s="115"/>
      <c r="AH218" s="115"/>
      <c r="AI218" s="115"/>
      <c r="AJ218" s="115"/>
      <c r="AK218" s="115"/>
      <c r="AL218" s="115"/>
    </row>
    <row r="219" spans="1:38">
      <c r="A219" s="13">
        <f t="shared" si="47"/>
        <v>212</v>
      </c>
      <c r="B219" s="123"/>
      <c r="C219" s="116"/>
      <c r="D219" s="116"/>
      <c r="E219" s="115"/>
      <c r="F219" s="116"/>
      <c r="G219" s="115"/>
      <c r="H219" s="117"/>
      <c r="I219" s="115"/>
      <c r="J219" s="115"/>
      <c r="K219" s="115"/>
      <c r="L219" s="115"/>
      <c r="M219" s="156">
        <f t="shared" si="42"/>
        <v>0</v>
      </c>
      <c r="N219" s="156"/>
      <c r="O219" s="156"/>
      <c r="P219" s="119">
        <f t="shared" si="43"/>
        <v>0</v>
      </c>
      <c r="Q219" s="115" t="e">
        <f t="shared" si="45"/>
        <v>#DIV/0!</v>
      </c>
      <c r="R219" s="160">
        <f t="shared" si="46"/>
        <v>0</v>
      </c>
      <c r="S219" s="160">
        <f t="shared" si="44"/>
        <v>0</v>
      </c>
      <c r="T219" s="120"/>
      <c r="U219" s="119"/>
      <c r="V219" s="115"/>
      <c r="W219" s="120"/>
      <c r="X219" s="120"/>
      <c r="Y219" s="158"/>
      <c r="Z219" s="160"/>
      <c r="AA219" s="160"/>
      <c r="AB219" s="160"/>
      <c r="AC219" s="160"/>
      <c r="AD219" s="119"/>
      <c r="AE219" s="115"/>
      <c r="AF219" s="115"/>
      <c r="AG219" s="115"/>
      <c r="AH219" s="115"/>
      <c r="AI219" s="115"/>
      <c r="AJ219" s="115"/>
      <c r="AK219" s="115"/>
      <c r="AL219" s="115"/>
    </row>
    <row r="220" spans="1:38">
      <c r="A220" s="13">
        <f t="shared" si="47"/>
        <v>213</v>
      </c>
      <c r="B220" s="123"/>
      <c r="C220" s="116"/>
      <c r="D220" s="116"/>
      <c r="E220" s="115"/>
      <c r="F220" s="116"/>
      <c r="G220" s="115"/>
      <c r="H220" s="117"/>
      <c r="I220" s="115"/>
      <c r="J220" s="115"/>
      <c r="K220" s="115"/>
      <c r="L220" s="115"/>
      <c r="M220" s="156">
        <f t="shared" si="42"/>
        <v>0</v>
      </c>
      <c r="N220" s="156"/>
      <c r="O220" s="156"/>
      <c r="P220" s="119">
        <f t="shared" si="43"/>
        <v>0</v>
      </c>
      <c r="Q220" s="115" t="e">
        <f t="shared" si="45"/>
        <v>#DIV/0!</v>
      </c>
      <c r="R220" s="160">
        <f t="shared" si="46"/>
        <v>0</v>
      </c>
      <c r="S220" s="160">
        <f t="shared" si="44"/>
        <v>0</v>
      </c>
      <c r="T220" s="120"/>
      <c r="U220" s="119"/>
      <c r="V220" s="115"/>
      <c r="W220" s="120"/>
      <c r="X220" s="120"/>
      <c r="Y220" s="158"/>
      <c r="Z220" s="160"/>
      <c r="AA220" s="160"/>
      <c r="AB220" s="160"/>
      <c r="AC220" s="160"/>
      <c r="AD220" s="119"/>
      <c r="AE220" s="115"/>
      <c r="AF220" s="115"/>
      <c r="AG220" s="115"/>
      <c r="AH220" s="115"/>
      <c r="AI220" s="115"/>
      <c r="AJ220" s="115"/>
      <c r="AK220" s="115"/>
      <c r="AL220" s="115"/>
    </row>
    <row r="221" spans="1:38">
      <c r="A221" s="13">
        <f t="shared" si="47"/>
        <v>214</v>
      </c>
      <c r="B221" s="123"/>
      <c r="C221" s="116"/>
      <c r="D221" s="116"/>
      <c r="E221" s="115"/>
      <c r="F221" s="116"/>
      <c r="G221" s="115"/>
      <c r="H221" s="117"/>
      <c r="I221" s="115"/>
      <c r="J221" s="115"/>
      <c r="K221" s="115"/>
      <c r="L221" s="115"/>
      <c r="M221" s="156">
        <f t="shared" si="42"/>
        <v>0</v>
      </c>
      <c r="N221" s="156"/>
      <c r="O221" s="156"/>
      <c r="P221" s="119">
        <f t="shared" si="43"/>
        <v>0</v>
      </c>
      <c r="Q221" s="115" t="e">
        <f t="shared" si="45"/>
        <v>#DIV/0!</v>
      </c>
      <c r="R221" s="160">
        <f t="shared" si="46"/>
        <v>0</v>
      </c>
      <c r="S221" s="160">
        <f t="shared" si="44"/>
        <v>0</v>
      </c>
      <c r="T221" s="120"/>
      <c r="U221" s="119"/>
      <c r="V221" s="115"/>
      <c r="W221" s="120"/>
      <c r="X221" s="120"/>
      <c r="Y221" s="158"/>
      <c r="Z221" s="160"/>
      <c r="AA221" s="160"/>
      <c r="AB221" s="160"/>
      <c r="AC221" s="160"/>
      <c r="AD221" s="119"/>
      <c r="AE221" s="115"/>
      <c r="AF221" s="115"/>
      <c r="AG221" s="115"/>
      <c r="AH221" s="115"/>
      <c r="AI221" s="115"/>
      <c r="AJ221" s="115"/>
      <c r="AK221" s="115"/>
      <c r="AL221" s="115"/>
    </row>
    <row r="222" spans="1:38">
      <c r="A222" s="13">
        <f t="shared" si="47"/>
        <v>215</v>
      </c>
      <c r="B222" s="123"/>
      <c r="C222" s="116"/>
      <c r="D222" s="116"/>
      <c r="E222" s="115"/>
      <c r="F222" s="116"/>
      <c r="G222" s="115"/>
      <c r="H222" s="117"/>
      <c r="I222" s="115"/>
      <c r="J222" s="115"/>
      <c r="K222" s="115"/>
      <c r="L222" s="115"/>
      <c r="M222" s="156">
        <f t="shared" si="42"/>
        <v>0</v>
      </c>
      <c r="N222" s="156"/>
      <c r="O222" s="156"/>
      <c r="P222" s="119">
        <f t="shared" si="43"/>
        <v>0</v>
      </c>
      <c r="Q222" s="115" t="e">
        <f t="shared" si="45"/>
        <v>#DIV/0!</v>
      </c>
      <c r="R222" s="160">
        <f t="shared" si="46"/>
        <v>0</v>
      </c>
      <c r="S222" s="160">
        <f t="shared" si="44"/>
        <v>0</v>
      </c>
      <c r="T222" s="120"/>
      <c r="U222" s="119"/>
      <c r="V222" s="115"/>
      <c r="W222" s="120"/>
      <c r="X222" s="120"/>
      <c r="Y222" s="158"/>
      <c r="Z222" s="160"/>
      <c r="AA222" s="160"/>
      <c r="AB222" s="160"/>
      <c r="AC222" s="160"/>
      <c r="AD222" s="119"/>
      <c r="AE222" s="115"/>
      <c r="AF222" s="115"/>
      <c r="AG222" s="115"/>
      <c r="AH222" s="115"/>
      <c r="AI222" s="115"/>
      <c r="AJ222" s="115"/>
      <c r="AK222" s="115"/>
      <c r="AL222" s="115"/>
    </row>
    <row r="223" spans="1:38">
      <c r="A223" s="13">
        <f t="shared" si="47"/>
        <v>216</v>
      </c>
      <c r="B223" s="123"/>
      <c r="C223" s="116"/>
      <c r="D223" s="116"/>
      <c r="E223" s="115"/>
      <c r="F223" s="116"/>
      <c r="G223" s="115"/>
      <c r="H223" s="117"/>
      <c r="I223" s="115"/>
      <c r="J223" s="115"/>
      <c r="K223" s="115"/>
      <c r="L223" s="115"/>
      <c r="M223" s="156">
        <f t="shared" si="42"/>
        <v>0</v>
      </c>
      <c r="N223" s="156"/>
      <c r="O223" s="156"/>
      <c r="P223" s="119">
        <f t="shared" si="43"/>
        <v>0</v>
      </c>
      <c r="Q223" s="115" t="e">
        <f t="shared" si="45"/>
        <v>#DIV/0!</v>
      </c>
      <c r="R223" s="160">
        <f t="shared" si="46"/>
        <v>0</v>
      </c>
      <c r="S223" s="160">
        <f t="shared" si="44"/>
        <v>0</v>
      </c>
      <c r="T223" s="120"/>
      <c r="U223" s="119"/>
      <c r="V223" s="115"/>
      <c r="W223" s="120"/>
      <c r="X223" s="120"/>
      <c r="Y223" s="158"/>
      <c r="Z223" s="160"/>
      <c r="AA223" s="160"/>
      <c r="AB223" s="160"/>
      <c r="AC223" s="160"/>
      <c r="AD223" s="119"/>
      <c r="AE223" s="115"/>
      <c r="AF223" s="115"/>
      <c r="AG223" s="115"/>
      <c r="AH223" s="115"/>
      <c r="AI223" s="115"/>
      <c r="AJ223" s="115"/>
      <c r="AK223" s="115"/>
      <c r="AL223" s="115"/>
    </row>
    <row r="224" spans="1:38">
      <c r="A224" s="13">
        <f t="shared" si="47"/>
        <v>217</v>
      </c>
      <c r="B224" s="123"/>
      <c r="C224" s="116"/>
      <c r="D224" s="116"/>
      <c r="E224" s="115"/>
      <c r="F224" s="116"/>
      <c r="G224" s="115"/>
      <c r="H224" s="117"/>
      <c r="I224" s="115"/>
      <c r="J224" s="115"/>
      <c r="K224" s="115"/>
      <c r="L224" s="115"/>
      <c r="M224" s="156">
        <f t="shared" si="42"/>
        <v>0</v>
      </c>
      <c r="N224" s="156"/>
      <c r="O224" s="156"/>
      <c r="P224" s="119">
        <f t="shared" si="43"/>
        <v>0</v>
      </c>
      <c r="Q224" s="115" t="e">
        <f t="shared" si="45"/>
        <v>#DIV/0!</v>
      </c>
      <c r="R224" s="160">
        <f t="shared" si="46"/>
        <v>0</v>
      </c>
      <c r="S224" s="160">
        <f t="shared" si="44"/>
        <v>0</v>
      </c>
      <c r="T224" s="120"/>
      <c r="U224" s="119"/>
      <c r="V224" s="115"/>
      <c r="W224" s="120"/>
      <c r="X224" s="120"/>
      <c r="Y224" s="158"/>
      <c r="Z224" s="160"/>
      <c r="AA224" s="160"/>
      <c r="AB224" s="160"/>
      <c r="AC224" s="160"/>
      <c r="AD224" s="119"/>
      <c r="AE224" s="115"/>
      <c r="AF224" s="115"/>
      <c r="AG224" s="115"/>
      <c r="AH224" s="115"/>
      <c r="AI224" s="115"/>
      <c r="AJ224" s="115"/>
      <c r="AK224" s="115"/>
      <c r="AL224" s="115"/>
    </row>
    <row r="225" spans="1:38">
      <c r="A225" s="13">
        <f t="shared" si="47"/>
        <v>218</v>
      </c>
      <c r="B225" s="123"/>
      <c r="C225" s="116"/>
      <c r="D225" s="116"/>
      <c r="E225" s="115"/>
      <c r="F225" s="116"/>
      <c r="G225" s="115"/>
      <c r="H225" s="117"/>
      <c r="I225" s="115"/>
      <c r="J225" s="115"/>
      <c r="K225" s="115"/>
      <c r="L225" s="115"/>
      <c r="M225" s="156">
        <f t="shared" si="42"/>
        <v>0</v>
      </c>
      <c r="N225" s="156"/>
      <c r="O225" s="156"/>
      <c r="P225" s="119">
        <f t="shared" si="43"/>
        <v>0</v>
      </c>
      <c r="Q225" s="115" t="e">
        <f t="shared" si="45"/>
        <v>#DIV/0!</v>
      </c>
      <c r="R225" s="160">
        <f t="shared" si="46"/>
        <v>0</v>
      </c>
      <c r="S225" s="160">
        <f t="shared" si="44"/>
        <v>0</v>
      </c>
      <c r="T225" s="120"/>
      <c r="U225" s="119"/>
      <c r="V225" s="115"/>
      <c r="W225" s="120"/>
      <c r="X225" s="120"/>
      <c r="Y225" s="158"/>
      <c r="Z225" s="160"/>
      <c r="AA225" s="160"/>
      <c r="AB225" s="160"/>
      <c r="AC225" s="160"/>
      <c r="AD225" s="119"/>
      <c r="AE225" s="115"/>
      <c r="AF225" s="115"/>
      <c r="AG225" s="115"/>
      <c r="AH225" s="115"/>
      <c r="AI225" s="115"/>
      <c r="AJ225" s="115"/>
      <c r="AK225" s="115"/>
      <c r="AL225" s="115"/>
    </row>
    <row r="226" spans="1:38">
      <c r="A226" s="13">
        <f t="shared" si="47"/>
        <v>219</v>
      </c>
      <c r="B226" s="123"/>
      <c r="C226" s="116"/>
      <c r="D226" s="116"/>
      <c r="E226" s="115"/>
      <c r="F226" s="116"/>
      <c r="G226" s="115"/>
      <c r="H226" s="117"/>
      <c r="I226" s="115"/>
      <c r="J226" s="115"/>
      <c r="K226" s="115"/>
      <c r="L226" s="115"/>
      <c r="M226" s="156">
        <f t="shared" si="42"/>
        <v>0</v>
      </c>
      <c r="N226" s="156"/>
      <c r="O226" s="156"/>
      <c r="P226" s="119">
        <f t="shared" si="43"/>
        <v>0</v>
      </c>
      <c r="Q226" s="115" t="e">
        <f t="shared" si="45"/>
        <v>#DIV/0!</v>
      </c>
      <c r="R226" s="160">
        <f t="shared" si="46"/>
        <v>0</v>
      </c>
      <c r="S226" s="160">
        <f t="shared" si="44"/>
        <v>0</v>
      </c>
      <c r="T226" s="120"/>
      <c r="U226" s="119"/>
      <c r="V226" s="115"/>
      <c r="W226" s="120"/>
      <c r="X226" s="120"/>
      <c r="Y226" s="158"/>
      <c r="Z226" s="160"/>
      <c r="AA226" s="160"/>
      <c r="AB226" s="160"/>
      <c r="AC226" s="160"/>
      <c r="AD226" s="119"/>
      <c r="AE226" s="115"/>
      <c r="AF226" s="115"/>
      <c r="AG226" s="115"/>
      <c r="AH226" s="115"/>
      <c r="AI226" s="115"/>
      <c r="AJ226" s="115"/>
      <c r="AK226" s="115"/>
      <c r="AL226" s="115"/>
    </row>
    <row r="227" spans="1:38">
      <c r="A227" s="13">
        <f t="shared" si="47"/>
        <v>220</v>
      </c>
      <c r="B227" s="123"/>
      <c r="C227" s="116"/>
      <c r="D227" s="116"/>
      <c r="E227" s="115"/>
      <c r="F227" s="116"/>
      <c r="G227" s="115"/>
      <c r="H227" s="117"/>
      <c r="I227" s="115"/>
      <c r="J227" s="115"/>
      <c r="K227" s="115"/>
      <c r="L227" s="115"/>
      <c r="M227" s="156">
        <f t="shared" si="42"/>
        <v>0</v>
      </c>
      <c r="N227" s="156"/>
      <c r="O227" s="156"/>
      <c r="P227" s="119">
        <f t="shared" si="43"/>
        <v>0</v>
      </c>
      <c r="Q227" s="115" t="e">
        <f t="shared" si="45"/>
        <v>#DIV/0!</v>
      </c>
      <c r="R227" s="160">
        <f t="shared" si="46"/>
        <v>0</v>
      </c>
      <c r="S227" s="160">
        <f t="shared" si="44"/>
        <v>0</v>
      </c>
      <c r="T227" s="120"/>
      <c r="U227" s="119"/>
      <c r="V227" s="115"/>
      <c r="W227" s="120"/>
      <c r="X227" s="120"/>
      <c r="Y227" s="158"/>
      <c r="Z227" s="160"/>
      <c r="AA227" s="160"/>
      <c r="AB227" s="160"/>
      <c r="AC227" s="160"/>
      <c r="AD227" s="119"/>
      <c r="AE227" s="115"/>
      <c r="AF227" s="115"/>
      <c r="AG227" s="115"/>
      <c r="AH227" s="115"/>
      <c r="AI227" s="115"/>
      <c r="AJ227" s="115"/>
      <c r="AK227" s="115"/>
      <c r="AL227" s="115"/>
    </row>
    <row r="228" spans="1:38">
      <c r="A228" s="13">
        <f t="shared" si="47"/>
        <v>221</v>
      </c>
      <c r="B228" s="123"/>
      <c r="C228" s="116"/>
      <c r="D228" s="116"/>
      <c r="E228" s="115"/>
      <c r="F228" s="116"/>
      <c r="G228" s="115"/>
      <c r="H228" s="117"/>
      <c r="I228" s="115"/>
      <c r="J228" s="115"/>
      <c r="K228" s="115"/>
      <c r="L228" s="115"/>
      <c r="M228" s="156">
        <f t="shared" si="42"/>
        <v>0</v>
      </c>
      <c r="N228" s="156"/>
      <c r="O228" s="156"/>
      <c r="P228" s="119">
        <f t="shared" si="43"/>
        <v>0</v>
      </c>
      <c r="Q228" s="115" t="e">
        <f t="shared" si="45"/>
        <v>#DIV/0!</v>
      </c>
      <c r="R228" s="160">
        <f t="shared" si="46"/>
        <v>0</v>
      </c>
      <c r="S228" s="160">
        <f t="shared" si="44"/>
        <v>0</v>
      </c>
      <c r="T228" s="120"/>
      <c r="U228" s="119"/>
      <c r="V228" s="115"/>
      <c r="W228" s="120"/>
      <c r="X228" s="120"/>
      <c r="Y228" s="158"/>
      <c r="Z228" s="160"/>
      <c r="AA228" s="160"/>
      <c r="AB228" s="160"/>
      <c r="AC228" s="160"/>
      <c r="AD228" s="119"/>
      <c r="AE228" s="115"/>
      <c r="AF228" s="115"/>
      <c r="AG228" s="115"/>
      <c r="AH228" s="115"/>
      <c r="AI228" s="115"/>
      <c r="AJ228" s="115"/>
      <c r="AK228" s="115"/>
      <c r="AL228" s="115"/>
    </row>
    <row r="229" spans="1:38">
      <c r="A229" s="13">
        <f t="shared" si="47"/>
        <v>222</v>
      </c>
      <c r="B229" s="123"/>
      <c r="C229" s="116"/>
      <c r="D229" s="116"/>
      <c r="E229" s="115"/>
      <c r="F229" s="116"/>
      <c r="G229" s="115"/>
      <c r="H229" s="117"/>
      <c r="I229" s="115"/>
      <c r="J229" s="115"/>
      <c r="K229" s="115"/>
      <c r="L229" s="115"/>
      <c r="M229" s="156">
        <f t="shared" si="42"/>
        <v>0</v>
      </c>
      <c r="N229" s="156"/>
      <c r="O229" s="156"/>
      <c r="P229" s="119">
        <f t="shared" si="43"/>
        <v>0</v>
      </c>
      <c r="Q229" s="115" t="e">
        <f t="shared" si="45"/>
        <v>#DIV/0!</v>
      </c>
      <c r="R229" s="160">
        <f t="shared" si="46"/>
        <v>0</v>
      </c>
      <c r="S229" s="160">
        <f t="shared" si="44"/>
        <v>0</v>
      </c>
      <c r="T229" s="120"/>
      <c r="U229" s="119"/>
      <c r="V229" s="115"/>
      <c r="W229" s="120"/>
      <c r="X229" s="120"/>
      <c r="Y229" s="158"/>
      <c r="Z229" s="160"/>
      <c r="AA229" s="160"/>
      <c r="AB229" s="160"/>
      <c r="AC229" s="160"/>
      <c r="AD229" s="119"/>
      <c r="AE229" s="115"/>
      <c r="AF229" s="115"/>
      <c r="AG229" s="115"/>
      <c r="AH229" s="115"/>
      <c r="AI229" s="115"/>
      <c r="AJ229" s="115"/>
      <c r="AK229" s="115"/>
      <c r="AL229" s="115"/>
    </row>
    <row r="230" spans="1:38">
      <c r="A230" s="13">
        <f t="shared" si="47"/>
        <v>223</v>
      </c>
      <c r="B230" s="123"/>
      <c r="C230" s="116"/>
      <c r="D230" s="116"/>
      <c r="E230" s="115"/>
      <c r="F230" s="116"/>
      <c r="G230" s="115"/>
      <c r="H230" s="117"/>
      <c r="I230" s="115"/>
      <c r="J230" s="115"/>
      <c r="K230" s="115"/>
      <c r="L230" s="115"/>
      <c r="M230" s="156">
        <f t="shared" si="42"/>
        <v>0</v>
      </c>
      <c r="N230" s="156"/>
      <c r="O230" s="156"/>
      <c r="P230" s="119">
        <f t="shared" si="43"/>
        <v>0</v>
      </c>
      <c r="Q230" s="115" t="e">
        <f t="shared" si="45"/>
        <v>#DIV/0!</v>
      </c>
      <c r="R230" s="160">
        <f t="shared" si="46"/>
        <v>0</v>
      </c>
      <c r="S230" s="160">
        <f t="shared" si="44"/>
        <v>0</v>
      </c>
      <c r="T230" s="120"/>
      <c r="U230" s="119"/>
      <c r="V230" s="115"/>
      <c r="W230" s="120"/>
      <c r="X230" s="120"/>
      <c r="Y230" s="158"/>
      <c r="Z230" s="160"/>
      <c r="AA230" s="160"/>
      <c r="AB230" s="160"/>
      <c r="AC230" s="160"/>
      <c r="AD230" s="119"/>
      <c r="AE230" s="115"/>
      <c r="AF230" s="115"/>
      <c r="AG230" s="115"/>
      <c r="AH230" s="115"/>
      <c r="AI230" s="115"/>
      <c r="AJ230" s="115"/>
      <c r="AK230" s="115"/>
      <c r="AL230" s="115"/>
    </row>
    <row r="231" spans="1:38">
      <c r="A231" s="13">
        <f t="shared" si="47"/>
        <v>224</v>
      </c>
      <c r="B231" s="123"/>
      <c r="C231" s="116"/>
      <c r="D231" s="116"/>
      <c r="E231" s="115"/>
      <c r="F231" s="116"/>
      <c r="G231" s="115"/>
      <c r="H231" s="117"/>
      <c r="I231" s="115"/>
      <c r="J231" s="115"/>
      <c r="K231" s="115"/>
      <c r="L231" s="115"/>
      <c r="M231" s="156">
        <f t="shared" si="42"/>
        <v>0</v>
      </c>
      <c r="N231" s="156"/>
      <c r="O231" s="156"/>
      <c r="P231" s="119">
        <f t="shared" si="43"/>
        <v>0</v>
      </c>
      <c r="Q231" s="115" t="e">
        <f t="shared" si="45"/>
        <v>#DIV/0!</v>
      </c>
      <c r="R231" s="160">
        <f t="shared" si="46"/>
        <v>0</v>
      </c>
      <c r="S231" s="160">
        <f t="shared" si="44"/>
        <v>0</v>
      </c>
      <c r="T231" s="120"/>
      <c r="U231" s="119"/>
      <c r="V231" s="115"/>
      <c r="W231" s="120"/>
      <c r="X231" s="120"/>
      <c r="Y231" s="158"/>
      <c r="Z231" s="160"/>
      <c r="AA231" s="160"/>
      <c r="AB231" s="160"/>
      <c r="AC231" s="160"/>
      <c r="AD231" s="119"/>
      <c r="AE231" s="115"/>
      <c r="AF231" s="115"/>
      <c r="AG231" s="115"/>
      <c r="AH231" s="115"/>
      <c r="AI231" s="115"/>
      <c r="AJ231" s="115"/>
      <c r="AK231" s="115"/>
      <c r="AL231" s="115"/>
    </row>
    <row r="232" spans="1:38">
      <c r="A232" s="13">
        <f t="shared" si="47"/>
        <v>225</v>
      </c>
      <c r="B232" s="123"/>
      <c r="C232" s="116"/>
      <c r="D232" s="116"/>
      <c r="E232" s="115"/>
      <c r="F232" s="116"/>
      <c r="G232" s="115"/>
      <c r="H232" s="117"/>
      <c r="I232" s="115"/>
      <c r="J232" s="115"/>
      <c r="K232" s="115"/>
      <c r="L232" s="115"/>
      <c r="M232" s="156">
        <f t="shared" si="42"/>
        <v>0</v>
      </c>
      <c r="N232" s="156"/>
      <c r="O232" s="156"/>
      <c r="P232" s="119">
        <f t="shared" si="43"/>
        <v>0</v>
      </c>
      <c r="Q232" s="115" t="e">
        <f t="shared" si="45"/>
        <v>#DIV/0!</v>
      </c>
      <c r="R232" s="160">
        <f t="shared" si="46"/>
        <v>0</v>
      </c>
      <c r="S232" s="160">
        <f t="shared" si="44"/>
        <v>0</v>
      </c>
      <c r="T232" s="120"/>
      <c r="U232" s="119"/>
      <c r="V232" s="115"/>
      <c r="W232" s="120"/>
      <c r="X232" s="120"/>
      <c r="Y232" s="158"/>
      <c r="Z232" s="160"/>
      <c r="AA232" s="160"/>
      <c r="AB232" s="160"/>
      <c r="AC232" s="160"/>
      <c r="AD232" s="119"/>
      <c r="AE232" s="115"/>
      <c r="AF232" s="115"/>
      <c r="AG232" s="115"/>
      <c r="AH232" s="115"/>
      <c r="AI232" s="115"/>
      <c r="AJ232" s="115"/>
      <c r="AK232" s="115"/>
      <c r="AL232" s="115"/>
    </row>
    <row r="233" spans="1:38">
      <c r="A233" s="13">
        <f t="shared" si="47"/>
        <v>226</v>
      </c>
      <c r="B233" s="123"/>
      <c r="C233" s="116"/>
      <c r="D233" s="116"/>
      <c r="E233" s="115"/>
      <c r="F233" s="116"/>
      <c r="G233" s="115"/>
      <c r="H233" s="117"/>
      <c r="I233" s="115"/>
      <c r="J233" s="115"/>
      <c r="K233" s="115"/>
      <c r="L233" s="115"/>
      <c r="M233" s="156">
        <f t="shared" si="42"/>
        <v>0</v>
      </c>
      <c r="N233" s="156"/>
      <c r="O233" s="156"/>
      <c r="P233" s="119">
        <f t="shared" si="43"/>
        <v>0</v>
      </c>
      <c r="Q233" s="115" t="e">
        <f t="shared" si="45"/>
        <v>#DIV/0!</v>
      </c>
      <c r="R233" s="160">
        <f t="shared" si="46"/>
        <v>0</v>
      </c>
      <c r="S233" s="160">
        <f t="shared" si="44"/>
        <v>0</v>
      </c>
      <c r="T233" s="120"/>
      <c r="U233" s="119"/>
      <c r="V233" s="115"/>
      <c r="W233" s="120"/>
      <c r="X233" s="120"/>
      <c r="Y233" s="158"/>
      <c r="Z233" s="160"/>
      <c r="AA233" s="160"/>
      <c r="AB233" s="160"/>
      <c r="AC233" s="160"/>
      <c r="AD233" s="119"/>
      <c r="AE233" s="115"/>
      <c r="AF233" s="115"/>
      <c r="AG233" s="115"/>
      <c r="AH233" s="115"/>
      <c r="AI233" s="115"/>
      <c r="AJ233" s="115"/>
      <c r="AK233" s="115"/>
      <c r="AL233" s="115"/>
    </row>
    <row r="234" spans="1:38">
      <c r="A234" s="13">
        <f t="shared" si="47"/>
        <v>227</v>
      </c>
      <c r="B234" s="123"/>
      <c r="C234" s="116"/>
      <c r="D234" s="116"/>
      <c r="E234" s="115"/>
      <c r="F234" s="116"/>
      <c r="G234" s="115"/>
      <c r="H234" s="117"/>
      <c r="I234" s="115"/>
      <c r="J234" s="115"/>
      <c r="K234" s="115"/>
      <c r="L234" s="115"/>
      <c r="M234" s="156">
        <f t="shared" si="42"/>
        <v>0</v>
      </c>
      <c r="N234" s="156"/>
      <c r="O234" s="156"/>
      <c r="P234" s="119">
        <f t="shared" si="43"/>
        <v>0</v>
      </c>
      <c r="Q234" s="115" t="e">
        <f t="shared" si="45"/>
        <v>#DIV/0!</v>
      </c>
      <c r="R234" s="160">
        <f t="shared" si="46"/>
        <v>0</v>
      </c>
      <c r="S234" s="160">
        <f t="shared" si="44"/>
        <v>0</v>
      </c>
      <c r="T234" s="120"/>
      <c r="U234" s="119"/>
      <c r="V234" s="115"/>
      <c r="W234" s="120"/>
      <c r="X234" s="120"/>
      <c r="Y234" s="158"/>
      <c r="Z234" s="160"/>
      <c r="AA234" s="160"/>
      <c r="AB234" s="160"/>
      <c r="AC234" s="160"/>
      <c r="AD234" s="119"/>
      <c r="AE234" s="115"/>
      <c r="AF234" s="115"/>
      <c r="AG234" s="115"/>
      <c r="AH234" s="115"/>
      <c r="AI234" s="115"/>
      <c r="AJ234" s="115"/>
      <c r="AK234" s="115"/>
      <c r="AL234" s="115"/>
    </row>
    <row r="235" spans="1:38">
      <c r="A235" s="13">
        <f t="shared" si="47"/>
        <v>228</v>
      </c>
      <c r="B235" s="123"/>
      <c r="C235" s="116"/>
      <c r="D235" s="116"/>
      <c r="E235" s="115"/>
      <c r="F235" s="116"/>
      <c r="G235" s="115"/>
      <c r="H235" s="117"/>
      <c r="I235" s="115"/>
      <c r="J235" s="115"/>
      <c r="K235" s="115"/>
      <c r="L235" s="115"/>
      <c r="M235" s="156">
        <f t="shared" si="42"/>
        <v>0</v>
      </c>
      <c r="N235" s="156"/>
      <c r="O235" s="156"/>
      <c r="P235" s="119">
        <f t="shared" si="43"/>
        <v>0</v>
      </c>
      <c r="Q235" s="115" t="e">
        <f t="shared" si="45"/>
        <v>#DIV/0!</v>
      </c>
      <c r="R235" s="160">
        <f t="shared" si="46"/>
        <v>0</v>
      </c>
      <c r="S235" s="160">
        <f t="shared" si="44"/>
        <v>0</v>
      </c>
      <c r="T235" s="120"/>
      <c r="U235" s="119"/>
      <c r="V235" s="115"/>
      <c r="W235" s="120"/>
      <c r="X235" s="120"/>
      <c r="Y235" s="158"/>
      <c r="Z235" s="160"/>
      <c r="AA235" s="160"/>
      <c r="AB235" s="160"/>
      <c r="AC235" s="160"/>
      <c r="AD235" s="119"/>
      <c r="AE235" s="115"/>
      <c r="AF235" s="115"/>
      <c r="AG235" s="115"/>
      <c r="AH235" s="115"/>
      <c r="AI235" s="115"/>
      <c r="AJ235" s="115"/>
      <c r="AK235" s="115"/>
      <c r="AL235" s="115"/>
    </row>
    <row r="236" spans="1:38">
      <c r="A236" s="13">
        <f t="shared" si="47"/>
        <v>229</v>
      </c>
      <c r="B236" s="123"/>
      <c r="C236" s="116"/>
      <c r="D236" s="116"/>
      <c r="E236" s="115"/>
      <c r="F236" s="116"/>
      <c r="G236" s="115"/>
      <c r="H236" s="117"/>
      <c r="I236" s="115"/>
      <c r="J236" s="115"/>
      <c r="K236" s="115"/>
      <c r="L236" s="115"/>
      <c r="M236" s="156">
        <f t="shared" si="42"/>
        <v>0</v>
      </c>
      <c r="N236" s="156"/>
      <c r="O236" s="156"/>
      <c r="P236" s="119">
        <f t="shared" si="43"/>
        <v>0</v>
      </c>
      <c r="Q236" s="115" t="e">
        <f t="shared" si="45"/>
        <v>#DIV/0!</v>
      </c>
      <c r="R236" s="160">
        <f t="shared" si="46"/>
        <v>0</v>
      </c>
      <c r="S236" s="160">
        <f t="shared" si="44"/>
        <v>0</v>
      </c>
      <c r="T236" s="120"/>
      <c r="U236" s="119"/>
      <c r="V236" s="115"/>
      <c r="W236" s="120"/>
      <c r="X236" s="120"/>
      <c r="Y236" s="158"/>
      <c r="Z236" s="160"/>
      <c r="AA236" s="160"/>
      <c r="AB236" s="160"/>
      <c r="AC236" s="160"/>
      <c r="AD236" s="119"/>
      <c r="AE236" s="115"/>
      <c r="AF236" s="115"/>
      <c r="AG236" s="115"/>
      <c r="AH236" s="115"/>
      <c r="AI236" s="115"/>
      <c r="AJ236" s="115"/>
      <c r="AK236" s="115"/>
      <c r="AL236" s="115"/>
    </row>
    <row r="237" spans="1:38">
      <c r="A237" s="13">
        <f t="shared" si="47"/>
        <v>230</v>
      </c>
      <c r="B237" s="123"/>
      <c r="C237" s="116"/>
      <c r="D237" s="116"/>
      <c r="E237" s="115"/>
      <c r="F237" s="116"/>
      <c r="G237" s="115"/>
      <c r="H237" s="117"/>
      <c r="I237" s="115"/>
      <c r="J237" s="115"/>
      <c r="K237" s="115"/>
      <c r="L237" s="115"/>
      <c r="M237" s="156">
        <f t="shared" si="42"/>
        <v>0</v>
      </c>
      <c r="N237" s="156"/>
      <c r="O237" s="156"/>
      <c r="P237" s="119">
        <f t="shared" si="43"/>
        <v>0</v>
      </c>
      <c r="Q237" s="115" t="e">
        <f t="shared" si="45"/>
        <v>#DIV/0!</v>
      </c>
      <c r="R237" s="160">
        <f t="shared" si="46"/>
        <v>0</v>
      </c>
      <c r="S237" s="160">
        <f t="shared" si="44"/>
        <v>0</v>
      </c>
      <c r="T237" s="120"/>
      <c r="U237" s="119"/>
      <c r="V237" s="115"/>
      <c r="W237" s="120"/>
      <c r="X237" s="120"/>
      <c r="Y237" s="158"/>
      <c r="Z237" s="160"/>
      <c r="AA237" s="160"/>
      <c r="AB237" s="160"/>
      <c r="AC237" s="160"/>
      <c r="AD237" s="119"/>
      <c r="AE237" s="115"/>
      <c r="AF237" s="115"/>
      <c r="AG237" s="115"/>
      <c r="AH237" s="115"/>
      <c r="AI237" s="115"/>
      <c r="AJ237" s="115"/>
      <c r="AK237" s="115"/>
      <c r="AL237" s="115"/>
    </row>
    <row r="238" spans="1:38">
      <c r="A238" s="13">
        <f t="shared" si="47"/>
        <v>231</v>
      </c>
      <c r="B238" s="123"/>
      <c r="C238" s="116"/>
      <c r="D238" s="116"/>
      <c r="E238" s="115"/>
      <c r="F238" s="116"/>
      <c r="G238" s="115"/>
      <c r="H238" s="117"/>
      <c r="I238" s="115"/>
      <c r="J238" s="115"/>
      <c r="K238" s="115"/>
      <c r="L238" s="115"/>
      <c r="M238" s="156">
        <f t="shared" si="42"/>
        <v>0</v>
      </c>
      <c r="N238" s="156"/>
      <c r="O238" s="156"/>
      <c r="P238" s="119">
        <f t="shared" si="43"/>
        <v>0</v>
      </c>
      <c r="Q238" s="115" t="e">
        <f t="shared" si="45"/>
        <v>#DIV/0!</v>
      </c>
      <c r="R238" s="160">
        <f t="shared" si="46"/>
        <v>0</v>
      </c>
      <c r="S238" s="160">
        <f t="shared" si="44"/>
        <v>0</v>
      </c>
      <c r="T238" s="120"/>
      <c r="U238" s="119"/>
      <c r="V238" s="115"/>
      <c r="W238" s="120"/>
      <c r="X238" s="120"/>
      <c r="Y238" s="158"/>
      <c r="Z238" s="160"/>
      <c r="AA238" s="160"/>
      <c r="AB238" s="160"/>
      <c r="AC238" s="160"/>
      <c r="AD238" s="119"/>
      <c r="AE238" s="115"/>
      <c r="AF238" s="115"/>
      <c r="AG238" s="115"/>
      <c r="AH238" s="115"/>
      <c r="AI238" s="115"/>
      <c r="AJ238" s="115"/>
      <c r="AK238" s="115"/>
      <c r="AL238" s="115"/>
    </row>
    <row r="239" spans="1:38">
      <c r="A239" s="13">
        <f t="shared" si="47"/>
        <v>232</v>
      </c>
      <c r="B239" s="123"/>
      <c r="C239" s="116"/>
      <c r="D239" s="116"/>
      <c r="E239" s="115"/>
      <c r="F239" s="116"/>
      <c r="G239" s="115"/>
      <c r="H239" s="117"/>
      <c r="I239" s="115"/>
      <c r="J239" s="115"/>
      <c r="K239" s="115"/>
      <c r="L239" s="115"/>
      <c r="M239" s="156">
        <f t="shared" si="42"/>
        <v>0</v>
      </c>
      <c r="N239" s="156"/>
      <c r="O239" s="156"/>
      <c r="P239" s="119">
        <f t="shared" si="43"/>
        <v>0</v>
      </c>
      <c r="Q239" s="115" t="e">
        <f t="shared" si="45"/>
        <v>#DIV/0!</v>
      </c>
      <c r="R239" s="160">
        <f t="shared" si="46"/>
        <v>0</v>
      </c>
      <c r="S239" s="160">
        <f t="shared" si="44"/>
        <v>0</v>
      </c>
      <c r="T239" s="120"/>
      <c r="U239" s="119"/>
      <c r="V239" s="115"/>
      <c r="W239" s="120"/>
      <c r="X239" s="120"/>
      <c r="Y239" s="158"/>
      <c r="Z239" s="160"/>
      <c r="AA239" s="160"/>
      <c r="AB239" s="160"/>
      <c r="AC239" s="160"/>
      <c r="AD239" s="119"/>
      <c r="AE239" s="115"/>
      <c r="AF239" s="115"/>
      <c r="AG239" s="115"/>
      <c r="AH239" s="115"/>
      <c r="AI239" s="115"/>
      <c r="AJ239" s="115"/>
      <c r="AK239" s="115"/>
      <c r="AL239" s="115"/>
    </row>
    <row r="240" spans="1:38">
      <c r="A240" s="13">
        <f t="shared" si="47"/>
        <v>233</v>
      </c>
      <c r="B240" s="123"/>
      <c r="C240" s="116"/>
      <c r="D240" s="116"/>
      <c r="E240" s="115"/>
      <c r="F240" s="116"/>
      <c r="G240" s="115"/>
      <c r="H240" s="117"/>
      <c r="I240" s="115"/>
      <c r="J240" s="115"/>
      <c r="K240" s="115"/>
      <c r="L240" s="115"/>
      <c r="M240" s="156">
        <f t="shared" si="42"/>
        <v>0</v>
      </c>
      <c r="N240" s="156"/>
      <c r="O240" s="156"/>
      <c r="P240" s="119">
        <f t="shared" si="43"/>
        <v>0</v>
      </c>
      <c r="Q240" s="115" t="e">
        <f t="shared" si="45"/>
        <v>#DIV/0!</v>
      </c>
      <c r="R240" s="160">
        <f t="shared" si="46"/>
        <v>0</v>
      </c>
      <c r="S240" s="160">
        <f t="shared" si="44"/>
        <v>0</v>
      </c>
      <c r="T240" s="120"/>
      <c r="U240" s="119"/>
      <c r="V240" s="115"/>
      <c r="W240" s="120"/>
      <c r="X240" s="120"/>
      <c r="Y240" s="158"/>
      <c r="Z240" s="160"/>
      <c r="AA240" s="160"/>
      <c r="AB240" s="160"/>
      <c r="AC240" s="160"/>
      <c r="AD240" s="119"/>
      <c r="AE240" s="115"/>
      <c r="AF240" s="115"/>
      <c r="AG240" s="115"/>
      <c r="AH240" s="115"/>
      <c r="AI240" s="115"/>
      <c r="AJ240" s="115"/>
      <c r="AK240" s="115"/>
      <c r="AL240" s="115"/>
    </row>
    <row r="241" spans="1:38">
      <c r="A241" s="13">
        <f t="shared" si="47"/>
        <v>234</v>
      </c>
      <c r="B241" s="123"/>
      <c r="C241" s="116"/>
      <c r="D241" s="116"/>
      <c r="E241" s="115"/>
      <c r="F241" s="116"/>
      <c r="G241" s="115"/>
      <c r="H241" s="117"/>
      <c r="I241" s="115"/>
      <c r="J241" s="115"/>
      <c r="K241" s="115"/>
      <c r="L241" s="115"/>
      <c r="M241" s="156">
        <f t="shared" si="42"/>
        <v>0</v>
      </c>
      <c r="N241" s="156"/>
      <c r="O241" s="156"/>
      <c r="P241" s="119">
        <f t="shared" si="43"/>
        <v>0</v>
      </c>
      <c r="Q241" s="115" t="e">
        <f t="shared" si="45"/>
        <v>#DIV/0!</v>
      </c>
      <c r="R241" s="160">
        <f t="shared" si="46"/>
        <v>0</v>
      </c>
      <c r="S241" s="160">
        <f t="shared" si="44"/>
        <v>0</v>
      </c>
      <c r="T241" s="120"/>
      <c r="U241" s="119"/>
      <c r="V241" s="115"/>
      <c r="W241" s="120"/>
      <c r="X241" s="120"/>
      <c r="Y241" s="158"/>
      <c r="Z241" s="160"/>
      <c r="AA241" s="160"/>
      <c r="AB241" s="160"/>
      <c r="AC241" s="160"/>
      <c r="AD241" s="119"/>
      <c r="AE241" s="115"/>
      <c r="AF241" s="115"/>
      <c r="AG241" s="115"/>
      <c r="AH241" s="115"/>
      <c r="AI241" s="115"/>
      <c r="AJ241" s="115"/>
      <c r="AK241" s="115"/>
      <c r="AL241" s="115"/>
    </row>
    <row r="242" spans="1:38">
      <c r="A242" s="13">
        <f t="shared" si="47"/>
        <v>235</v>
      </c>
      <c r="B242" s="123"/>
      <c r="C242" s="116"/>
      <c r="D242" s="116"/>
      <c r="E242" s="115"/>
      <c r="F242" s="116"/>
      <c r="G242" s="115"/>
      <c r="H242" s="117"/>
      <c r="I242" s="115"/>
      <c r="J242" s="115"/>
      <c r="K242" s="115"/>
      <c r="L242" s="115"/>
      <c r="M242" s="156">
        <f t="shared" si="42"/>
        <v>0</v>
      </c>
      <c r="N242" s="156"/>
      <c r="O242" s="156"/>
      <c r="P242" s="119">
        <f t="shared" si="43"/>
        <v>0</v>
      </c>
      <c r="Q242" s="115" t="e">
        <f t="shared" si="45"/>
        <v>#DIV/0!</v>
      </c>
      <c r="R242" s="160">
        <f t="shared" si="46"/>
        <v>0</v>
      </c>
      <c r="S242" s="160">
        <f t="shared" si="44"/>
        <v>0</v>
      </c>
      <c r="T242" s="120"/>
      <c r="U242" s="119"/>
      <c r="V242" s="115"/>
      <c r="W242" s="120"/>
      <c r="X242" s="120"/>
      <c r="Y242" s="158"/>
      <c r="Z242" s="160"/>
      <c r="AA242" s="160"/>
      <c r="AB242" s="160"/>
      <c r="AC242" s="160"/>
      <c r="AD242" s="119"/>
      <c r="AE242" s="115"/>
      <c r="AF242" s="115"/>
      <c r="AG242" s="115"/>
      <c r="AH242" s="115"/>
      <c r="AI242" s="115"/>
      <c r="AJ242" s="115"/>
      <c r="AK242" s="115"/>
      <c r="AL242" s="115"/>
    </row>
    <row r="243" spans="1:38">
      <c r="A243" s="13">
        <f t="shared" si="47"/>
        <v>236</v>
      </c>
      <c r="B243" s="123"/>
      <c r="C243" s="116"/>
      <c r="D243" s="116"/>
      <c r="E243" s="115"/>
      <c r="F243" s="116"/>
      <c r="G243" s="115"/>
      <c r="H243" s="117"/>
      <c r="I243" s="115"/>
      <c r="J243" s="115"/>
      <c r="K243" s="115"/>
      <c r="L243" s="115"/>
      <c r="M243" s="156">
        <f t="shared" si="42"/>
        <v>0</v>
      </c>
      <c r="N243" s="156"/>
      <c r="O243" s="156"/>
      <c r="P243" s="119">
        <f t="shared" si="43"/>
        <v>0</v>
      </c>
      <c r="Q243" s="115" t="e">
        <f t="shared" si="45"/>
        <v>#DIV/0!</v>
      </c>
      <c r="R243" s="160">
        <f t="shared" si="46"/>
        <v>0</v>
      </c>
      <c r="S243" s="160">
        <f t="shared" si="44"/>
        <v>0</v>
      </c>
      <c r="T243" s="120"/>
      <c r="U243" s="119"/>
      <c r="V243" s="115"/>
      <c r="W243" s="120"/>
      <c r="X243" s="120"/>
      <c r="Y243" s="158"/>
      <c r="Z243" s="160"/>
      <c r="AA243" s="160"/>
      <c r="AB243" s="160"/>
      <c r="AC243" s="160"/>
      <c r="AD243" s="119"/>
      <c r="AE243" s="115"/>
      <c r="AF243" s="115"/>
      <c r="AG243" s="115"/>
      <c r="AH243" s="115"/>
      <c r="AI243" s="115"/>
      <c r="AJ243" s="115"/>
      <c r="AK243" s="115"/>
      <c r="AL243" s="115"/>
    </row>
    <row r="244" spans="1:38">
      <c r="A244" s="13">
        <f t="shared" si="47"/>
        <v>237</v>
      </c>
      <c r="B244" s="123"/>
      <c r="C244" s="116"/>
      <c r="D244" s="116"/>
      <c r="E244" s="115"/>
      <c r="F244" s="116"/>
      <c r="G244" s="115"/>
      <c r="H244" s="117"/>
      <c r="I244" s="115"/>
      <c r="J244" s="115"/>
      <c r="K244" s="115"/>
      <c r="L244" s="115"/>
      <c r="M244" s="156">
        <f t="shared" si="42"/>
        <v>0</v>
      </c>
      <c r="N244" s="156"/>
      <c r="O244" s="156"/>
      <c r="P244" s="119">
        <f t="shared" si="43"/>
        <v>0</v>
      </c>
      <c r="Q244" s="115" t="e">
        <f t="shared" si="45"/>
        <v>#DIV/0!</v>
      </c>
      <c r="R244" s="160">
        <f t="shared" si="46"/>
        <v>0</v>
      </c>
      <c r="S244" s="160">
        <f t="shared" si="44"/>
        <v>0</v>
      </c>
      <c r="T244" s="120"/>
      <c r="U244" s="119"/>
      <c r="V244" s="115"/>
      <c r="W244" s="120"/>
      <c r="X244" s="120"/>
      <c r="Y244" s="158"/>
      <c r="Z244" s="160"/>
      <c r="AA244" s="160"/>
      <c r="AB244" s="160"/>
      <c r="AC244" s="160"/>
      <c r="AD244" s="119"/>
      <c r="AE244" s="115"/>
      <c r="AF244" s="115"/>
      <c r="AG244" s="115"/>
      <c r="AH244" s="115"/>
      <c r="AI244" s="115"/>
      <c r="AJ244" s="115"/>
      <c r="AK244" s="115"/>
      <c r="AL244" s="115"/>
    </row>
    <row r="245" spans="1:38">
      <c r="A245" s="13">
        <f t="shared" si="47"/>
        <v>238</v>
      </c>
      <c r="B245" s="123"/>
      <c r="C245" s="116"/>
      <c r="D245" s="116"/>
      <c r="E245" s="115"/>
      <c r="F245" s="116"/>
      <c r="G245" s="115"/>
      <c r="H245" s="117"/>
      <c r="I245" s="115"/>
      <c r="J245" s="115"/>
      <c r="K245" s="115"/>
      <c r="L245" s="115"/>
      <c r="M245" s="156">
        <f t="shared" ref="M245:M308" si="48">J245*(1+$M$6*IF(C245="B",-1,1))</f>
        <v>0</v>
      </c>
      <c r="N245" s="156"/>
      <c r="O245" s="156"/>
      <c r="P245" s="119">
        <f t="shared" ref="P245:P308" si="49">IF(AND(K245&lt;&gt;0,I245&lt;&gt;0),(IF(C245="B",1,-1))*(K245-J245)*I245-AL245*2,0)</f>
        <v>0</v>
      </c>
      <c r="Q245" s="115" t="e">
        <f t="shared" si="45"/>
        <v>#DIV/0!</v>
      </c>
      <c r="R245" s="160">
        <f t="shared" si="46"/>
        <v>0</v>
      </c>
      <c r="S245" s="160">
        <f t="shared" ref="S245:S308" si="50">(Y245-J245)*I245*IF(C245="B",1,-1)*IF(K245=0,1,0)</f>
        <v>0</v>
      </c>
      <c r="T245" s="120"/>
      <c r="U245" s="119"/>
      <c r="V245" s="115"/>
      <c r="W245" s="120"/>
      <c r="X245" s="120"/>
      <c r="Y245" s="158"/>
      <c r="Z245" s="160"/>
      <c r="AA245" s="160"/>
      <c r="AB245" s="160"/>
      <c r="AC245" s="160"/>
      <c r="AD245" s="119"/>
      <c r="AE245" s="115"/>
      <c r="AF245" s="115"/>
      <c r="AG245" s="115"/>
      <c r="AH245" s="115"/>
      <c r="AI245" s="115"/>
      <c r="AJ245" s="115"/>
      <c r="AK245" s="115"/>
      <c r="AL245" s="115"/>
    </row>
    <row r="246" spans="1:38">
      <c r="A246" s="13">
        <f t="shared" si="47"/>
        <v>239</v>
      </c>
      <c r="B246" s="123"/>
      <c r="C246" s="116"/>
      <c r="D246" s="116"/>
      <c r="E246" s="115"/>
      <c r="F246" s="116"/>
      <c r="G246" s="115"/>
      <c r="H246" s="117"/>
      <c r="I246" s="115"/>
      <c r="J246" s="115"/>
      <c r="K246" s="115"/>
      <c r="L246" s="115"/>
      <c r="M246" s="156">
        <f t="shared" si="48"/>
        <v>0</v>
      </c>
      <c r="N246" s="156"/>
      <c r="O246" s="156"/>
      <c r="P246" s="119">
        <f t="shared" si="49"/>
        <v>0</v>
      </c>
      <c r="Q246" s="115" t="e">
        <f t="shared" si="45"/>
        <v>#DIV/0!</v>
      </c>
      <c r="R246" s="160">
        <f t="shared" si="46"/>
        <v>0</v>
      </c>
      <c r="S246" s="160">
        <f t="shared" si="50"/>
        <v>0</v>
      </c>
      <c r="T246" s="120"/>
      <c r="U246" s="119"/>
      <c r="V246" s="115"/>
      <c r="W246" s="120"/>
      <c r="X246" s="120"/>
      <c r="Y246" s="158"/>
      <c r="Z246" s="160"/>
      <c r="AA246" s="160"/>
      <c r="AB246" s="160"/>
      <c r="AC246" s="160"/>
      <c r="AD246" s="119"/>
      <c r="AE246" s="115"/>
      <c r="AF246" s="115"/>
      <c r="AG246" s="115"/>
      <c r="AH246" s="115"/>
      <c r="AI246" s="115"/>
      <c r="AJ246" s="115"/>
      <c r="AK246" s="115"/>
      <c r="AL246" s="115"/>
    </row>
    <row r="247" spans="1:38">
      <c r="A247" s="13">
        <f t="shared" si="47"/>
        <v>240</v>
      </c>
      <c r="B247" s="123"/>
      <c r="C247" s="116"/>
      <c r="D247" s="116"/>
      <c r="E247" s="115"/>
      <c r="F247" s="116"/>
      <c r="G247" s="115"/>
      <c r="H247" s="117"/>
      <c r="I247" s="115"/>
      <c r="J247" s="115"/>
      <c r="K247" s="115"/>
      <c r="L247" s="115"/>
      <c r="M247" s="156">
        <f t="shared" si="48"/>
        <v>0</v>
      </c>
      <c r="N247" s="156"/>
      <c r="O247" s="156"/>
      <c r="P247" s="119">
        <f t="shared" si="49"/>
        <v>0</v>
      </c>
      <c r="Q247" s="115" t="e">
        <f t="shared" si="45"/>
        <v>#DIV/0!</v>
      </c>
      <c r="R247" s="160">
        <f t="shared" si="46"/>
        <v>0</v>
      </c>
      <c r="S247" s="160">
        <f t="shared" si="50"/>
        <v>0</v>
      </c>
      <c r="T247" s="120"/>
      <c r="U247" s="119"/>
      <c r="V247" s="115"/>
      <c r="W247" s="120"/>
      <c r="X247" s="120"/>
      <c r="Y247" s="158"/>
      <c r="Z247" s="160"/>
      <c r="AA247" s="160"/>
      <c r="AB247" s="160"/>
      <c r="AC247" s="160"/>
      <c r="AD247" s="119"/>
      <c r="AE247" s="115"/>
      <c r="AF247" s="115"/>
      <c r="AG247" s="115"/>
      <c r="AH247" s="115"/>
      <c r="AI247" s="115"/>
      <c r="AJ247" s="115"/>
      <c r="AK247" s="115"/>
      <c r="AL247" s="115"/>
    </row>
    <row r="248" spans="1:38">
      <c r="A248" s="13">
        <f t="shared" si="47"/>
        <v>241</v>
      </c>
      <c r="B248" s="123"/>
      <c r="C248" s="116"/>
      <c r="D248" s="116"/>
      <c r="E248" s="115"/>
      <c r="F248" s="116"/>
      <c r="G248" s="115"/>
      <c r="H248" s="117"/>
      <c r="I248" s="115"/>
      <c r="J248" s="115"/>
      <c r="K248" s="115"/>
      <c r="L248" s="115"/>
      <c r="M248" s="156">
        <f t="shared" si="48"/>
        <v>0</v>
      </c>
      <c r="N248" s="156"/>
      <c r="O248" s="156"/>
      <c r="P248" s="119">
        <f t="shared" si="49"/>
        <v>0</v>
      </c>
      <c r="Q248" s="115" t="e">
        <f t="shared" si="45"/>
        <v>#DIV/0!</v>
      </c>
      <c r="R248" s="160">
        <f t="shared" si="46"/>
        <v>0</v>
      </c>
      <c r="S248" s="160">
        <f t="shared" si="50"/>
        <v>0</v>
      </c>
      <c r="T248" s="120"/>
      <c r="U248" s="119"/>
      <c r="V248" s="115"/>
      <c r="W248" s="120"/>
      <c r="X248" s="120"/>
      <c r="Y248" s="158"/>
      <c r="Z248" s="160"/>
      <c r="AA248" s="160"/>
      <c r="AB248" s="160"/>
      <c r="AC248" s="160"/>
      <c r="AD248" s="119"/>
      <c r="AE248" s="115"/>
      <c r="AF248" s="115"/>
      <c r="AG248" s="115"/>
      <c r="AH248" s="115"/>
      <c r="AI248" s="115"/>
      <c r="AJ248" s="115"/>
      <c r="AK248" s="115"/>
      <c r="AL248" s="115"/>
    </row>
    <row r="249" spans="1:38">
      <c r="A249" s="13">
        <f t="shared" si="47"/>
        <v>242</v>
      </c>
      <c r="B249" s="123"/>
      <c r="C249" s="116"/>
      <c r="D249" s="116"/>
      <c r="E249" s="115"/>
      <c r="F249" s="116"/>
      <c r="G249" s="115"/>
      <c r="H249" s="117"/>
      <c r="I249" s="115"/>
      <c r="J249" s="115"/>
      <c r="K249" s="115"/>
      <c r="L249" s="115"/>
      <c r="M249" s="156">
        <f t="shared" si="48"/>
        <v>0</v>
      </c>
      <c r="N249" s="156"/>
      <c r="O249" s="156"/>
      <c r="P249" s="119">
        <f t="shared" si="49"/>
        <v>0</v>
      </c>
      <c r="Q249" s="115" t="e">
        <f t="shared" si="45"/>
        <v>#DIV/0!</v>
      </c>
      <c r="R249" s="160">
        <f t="shared" si="46"/>
        <v>0</v>
      </c>
      <c r="S249" s="160">
        <f t="shared" si="50"/>
        <v>0</v>
      </c>
      <c r="T249" s="120"/>
      <c r="U249" s="119"/>
      <c r="V249" s="115"/>
      <c r="W249" s="120"/>
      <c r="X249" s="120"/>
      <c r="Y249" s="158"/>
      <c r="Z249" s="160"/>
      <c r="AA249" s="160"/>
      <c r="AB249" s="160"/>
      <c r="AC249" s="160"/>
      <c r="AD249" s="119"/>
      <c r="AE249" s="115"/>
      <c r="AF249" s="115"/>
      <c r="AG249" s="115"/>
      <c r="AH249" s="115"/>
      <c r="AI249" s="115"/>
      <c r="AJ249" s="115"/>
      <c r="AK249" s="115"/>
      <c r="AL249" s="115"/>
    </row>
    <row r="250" spans="1:38">
      <c r="A250" s="13">
        <f t="shared" si="47"/>
        <v>243</v>
      </c>
      <c r="B250" s="123"/>
      <c r="C250" s="116"/>
      <c r="D250" s="116"/>
      <c r="E250" s="115"/>
      <c r="F250" s="116"/>
      <c r="G250" s="115"/>
      <c r="H250" s="117"/>
      <c r="I250" s="115"/>
      <c r="J250" s="115"/>
      <c r="K250" s="115"/>
      <c r="L250" s="115"/>
      <c r="M250" s="156">
        <f t="shared" si="48"/>
        <v>0</v>
      </c>
      <c r="N250" s="156"/>
      <c r="O250" s="156"/>
      <c r="P250" s="119">
        <f t="shared" si="49"/>
        <v>0</v>
      </c>
      <c r="Q250" s="115" t="e">
        <f t="shared" si="45"/>
        <v>#DIV/0!</v>
      </c>
      <c r="R250" s="160">
        <f t="shared" si="46"/>
        <v>0</v>
      </c>
      <c r="S250" s="160">
        <f t="shared" si="50"/>
        <v>0</v>
      </c>
      <c r="T250" s="120"/>
      <c r="U250" s="119"/>
      <c r="V250" s="115"/>
      <c r="W250" s="120"/>
      <c r="X250" s="120"/>
      <c r="Y250" s="158"/>
      <c r="Z250" s="160"/>
      <c r="AA250" s="160"/>
      <c r="AB250" s="160"/>
      <c r="AC250" s="160"/>
      <c r="AD250" s="119"/>
      <c r="AE250" s="115"/>
      <c r="AF250" s="115"/>
      <c r="AG250" s="115"/>
      <c r="AH250" s="115"/>
      <c r="AI250" s="115"/>
      <c r="AJ250" s="115"/>
      <c r="AK250" s="115"/>
      <c r="AL250" s="115"/>
    </row>
    <row r="251" spans="1:38">
      <c r="A251" s="13">
        <f t="shared" si="47"/>
        <v>244</v>
      </c>
      <c r="B251" s="123"/>
      <c r="C251" s="116"/>
      <c r="D251" s="116"/>
      <c r="E251" s="115"/>
      <c r="F251" s="116"/>
      <c r="G251" s="115"/>
      <c r="H251" s="117"/>
      <c r="I251" s="115"/>
      <c r="J251" s="115"/>
      <c r="K251" s="115"/>
      <c r="L251" s="115"/>
      <c r="M251" s="156">
        <f t="shared" si="48"/>
        <v>0</v>
      </c>
      <c r="N251" s="156"/>
      <c r="O251" s="156"/>
      <c r="P251" s="119">
        <f t="shared" si="49"/>
        <v>0</v>
      </c>
      <c r="Q251" s="115" t="e">
        <f t="shared" si="45"/>
        <v>#DIV/0!</v>
      </c>
      <c r="R251" s="160">
        <f t="shared" si="46"/>
        <v>0</v>
      </c>
      <c r="S251" s="160">
        <f t="shared" si="50"/>
        <v>0</v>
      </c>
      <c r="T251" s="120"/>
      <c r="U251" s="119"/>
      <c r="V251" s="115"/>
      <c r="W251" s="120"/>
      <c r="X251" s="120"/>
      <c r="Y251" s="158"/>
      <c r="Z251" s="160"/>
      <c r="AA251" s="160"/>
      <c r="AB251" s="160"/>
      <c r="AC251" s="160"/>
      <c r="AD251" s="119"/>
      <c r="AE251" s="115"/>
      <c r="AF251" s="115"/>
      <c r="AG251" s="115"/>
      <c r="AH251" s="115"/>
      <c r="AI251" s="115"/>
      <c r="AJ251" s="115"/>
      <c r="AK251" s="115"/>
      <c r="AL251" s="115"/>
    </row>
    <row r="252" spans="1:38">
      <c r="A252" s="13">
        <f t="shared" si="47"/>
        <v>245</v>
      </c>
      <c r="B252" s="123"/>
      <c r="C252" s="116"/>
      <c r="D252" s="116"/>
      <c r="E252" s="115"/>
      <c r="F252" s="116"/>
      <c r="G252" s="115"/>
      <c r="H252" s="117"/>
      <c r="I252" s="115"/>
      <c r="J252" s="115"/>
      <c r="K252" s="115"/>
      <c r="L252" s="115"/>
      <c r="M252" s="156">
        <f t="shared" si="48"/>
        <v>0</v>
      </c>
      <c r="N252" s="156"/>
      <c r="O252" s="156"/>
      <c r="P252" s="119">
        <f t="shared" si="49"/>
        <v>0</v>
      </c>
      <c r="Q252" s="115" t="e">
        <f t="shared" si="45"/>
        <v>#DIV/0!</v>
      </c>
      <c r="R252" s="160">
        <f t="shared" si="46"/>
        <v>0</v>
      </c>
      <c r="S252" s="160">
        <f t="shared" si="50"/>
        <v>0</v>
      </c>
      <c r="T252" s="120"/>
      <c r="U252" s="119"/>
      <c r="V252" s="115"/>
      <c r="W252" s="120"/>
      <c r="X252" s="120"/>
      <c r="Y252" s="158"/>
      <c r="Z252" s="160"/>
      <c r="AA252" s="160"/>
      <c r="AB252" s="160"/>
      <c r="AC252" s="160"/>
      <c r="AD252" s="119"/>
      <c r="AE252" s="115"/>
      <c r="AF252" s="115"/>
      <c r="AG252" s="115"/>
      <c r="AH252" s="115"/>
      <c r="AI252" s="115"/>
      <c r="AJ252" s="115"/>
      <c r="AK252" s="115"/>
      <c r="AL252" s="115"/>
    </row>
    <row r="253" spans="1:38">
      <c r="A253" s="13">
        <f t="shared" si="47"/>
        <v>246</v>
      </c>
      <c r="B253" s="123"/>
      <c r="C253" s="116"/>
      <c r="D253" s="116"/>
      <c r="E253" s="115"/>
      <c r="F253" s="116"/>
      <c r="G253" s="115"/>
      <c r="H253" s="117"/>
      <c r="I253" s="115"/>
      <c r="J253" s="115"/>
      <c r="K253" s="115"/>
      <c r="L253" s="115"/>
      <c r="M253" s="156">
        <f t="shared" si="48"/>
        <v>0</v>
      </c>
      <c r="N253" s="156"/>
      <c r="O253" s="156"/>
      <c r="P253" s="119">
        <f t="shared" si="49"/>
        <v>0</v>
      </c>
      <c r="Q253" s="115" t="e">
        <f t="shared" si="45"/>
        <v>#DIV/0!</v>
      </c>
      <c r="R253" s="160">
        <f t="shared" si="46"/>
        <v>0</v>
      </c>
      <c r="S253" s="160">
        <f t="shared" si="50"/>
        <v>0</v>
      </c>
      <c r="T253" s="120"/>
      <c r="U253" s="119"/>
      <c r="V253" s="115"/>
      <c r="W253" s="120"/>
      <c r="X253" s="120"/>
      <c r="Y253" s="158"/>
      <c r="Z253" s="160"/>
      <c r="AA253" s="160"/>
      <c r="AB253" s="160"/>
      <c r="AC253" s="160"/>
      <c r="AD253" s="119"/>
      <c r="AE253" s="115"/>
      <c r="AF253" s="115"/>
      <c r="AG253" s="115"/>
      <c r="AH253" s="115"/>
      <c r="AI253" s="115"/>
      <c r="AJ253" s="115"/>
      <c r="AK253" s="115"/>
      <c r="AL253" s="115"/>
    </row>
    <row r="254" spans="1:38">
      <c r="A254" s="13">
        <f t="shared" si="47"/>
        <v>247</v>
      </c>
      <c r="B254" s="123"/>
      <c r="C254" s="116"/>
      <c r="D254" s="116"/>
      <c r="E254" s="115"/>
      <c r="F254" s="116"/>
      <c r="G254" s="115"/>
      <c r="H254" s="117"/>
      <c r="I254" s="115"/>
      <c r="J254" s="115"/>
      <c r="K254" s="115"/>
      <c r="L254" s="115"/>
      <c r="M254" s="156">
        <f t="shared" si="48"/>
        <v>0</v>
      </c>
      <c r="N254" s="156"/>
      <c r="O254" s="156"/>
      <c r="P254" s="119">
        <f t="shared" si="49"/>
        <v>0</v>
      </c>
      <c r="Q254" s="115" t="e">
        <f t="shared" si="45"/>
        <v>#DIV/0!</v>
      </c>
      <c r="R254" s="160">
        <f t="shared" si="46"/>
        <v>0</v>
      </c>
      <c r="S254" s="160">
        <f t="shared" si="50"/>
        <v>0</v>
      </c>
      <c r="T254" s="120"/>
      <c r="U254" s="119"/>
      <c r="V254" s="115"/>
      <c r="W254" s="120"/>
      <c r="X254" s="120"/>
      <c r="Y254" s="158"/>
      <c r="Z254" s="160"/>
      <c r="AA254" s="160"/>
      <c r="AB254" s="160"/>
      <c r="AC254" s="160"/>
      <c r="AD254" s="119"/>
      <c r="AE254" s="115"/>
      <c r="AF254" s="115"/>
      <c r="AG254" s="115"/>
      <c r="AH254" s="115"/>
      <c r="AI254" s="115"/>
      <c r="AJ254" s="115"/>
      <c r="AK254" s="115"/>
      <c r="AL254" s="115"/>
    </row>
    <row r="255" spans="1:38">
      <c r="A255" s="13">
        <f t="shared" si="47"/>
        <v>248</v>
      </c>
      <c r="B255" s="123"/>
      <c r="C255" s="116"/>
      <c r="D255" s="116"/>
      <c r="E255" s="115"/>
      <c r="F255" s="116"/>
      <c r="G255" s="115"/>
      <c r="H255" s="117"/>
      <c r="I255" s="115"/>
      <c r="J255" s="115"/>
      <c r="K255" s="115"/>
      <c r="L255" s="115"/>
      <c r="M255" s="156">
        <f t="shared" si="48"/>
        <v>0</v>
      </c>
      <c r="N255" s="156"/>
      <c r="O255" s="156"/>
      <c r="P255" s="119">
        <f t="shared" si="49"/>
        <v>0</v>
      </c>
      <c r="Q255" s="115" t="e">
        <f t="shared" si="45"/>
        <v>#DIV/0!</v>
      </c>
      <c r="R255" s="160">
        <f t="shared" si="46"/>
        <v>0</v>
      </c>
      <c r="S255" s="160">
        <f t="shared" si="50"/>
        <v>0</v>
      </c>
      <c r="T255" s="120"/>
      <c r="U255" s="119"/>
      <c r="V255" s="115"/>
      <c r="W255" s="120"/>
      <c r="X255" s="120"/>
      <c r="Y255" s="158"/>
      <c r="Z255" s="160"/>
      <c r="AA255" s="160"/>
      <c r="AB255" s="160"/>
      <c r="AC255" s="160"/>
      <c r="AD255" s="119"/>
      <c r="AE255" s="115"/>
      <c r="AF255" s="115"/>
      <c r="AG255" s="115"/>
      <c r="AH255" s="115"/>
      <c r="AI255" s="115"/>
      <c r="AJ255" s="115"/>
      <c r="AK255" s="115"/>
      <c r="AL255" s="115"/>
    </row>
    <row r="256" spans="1:38">
      <c r="A256" s="13">
        <f t="shared" si="47"/>
        <v>249</v>
      </c>
      <c r="B256" s="123"/>
      <c r="C256" s="116"/>
      <c r="D256" s="116"/>
      <c r="E256" s="115"/>
      <c r="F256" s="116"/>
      <c r="G256" s="115"/>
      <c r="H256" s="117"/>
      <c r="I256" s="115"/>
      <c r="J256" s="115"/>
      <c r="K256" s="115"/>
      <c r="L256" s="115"/>
      <c r="M256" s="156">
        <f t="shared" si="48"/>
        <v>0</v>
      </c>
      <c r="N256" s="156"/>
      <c r="O256" s="156"/>
      <c r="P256" s="119">
        <f t="shared" si="49"/>
        <v>0</v>
      </c>
      <c r="Q256" s="115" t="e">
        <f t="shared" si="45"/>
        <v>#DIV/0!</v>
      </c>
      <c r="R256" s="160">
        <f t="shared" si="46"/>
        <v>0</v>
      </c>
      <c r="S256" s="160">
        <f t="shared" si="50"/>
        <v>0</v>
      </c>
      <c r="T256" s="120"/>
      <c r="U256" s="119"/>
      <c r="V256" s="115"/>
      <c r="W256" s="120"/>
      <c r="X256" s="120"/>
      <c r="Y256" s="158"/>
      <c r="Z256" s="160"/>
      <c r="AA256" s="160"/>
      <c r="AB256" s="160"/>
      <c r="AC256" s="160"/>
      <c r="AD256" s="119"/>
      <c r="AE256" s="115"/>
      <c r="AF256" s="115"/>
      <c r="AG256" s="115"/>
      <c r="AH256" s="115"/>
      <c r="AI256" s="115"/>
      <c r="AJ256" s="115"/>
      <c r="AK256" s="115"/>
      <c r="AL256" s="115"/>
    </row>
    <row r="257" spans="1:38">
      <c r="A257" s="13">
        <f t="shared" si="47"/>
        <v>250</v>
      </c>
      <c r="B257" s="123"/>
      <c r="C257" s="116"/>
      <c r="D257" s="116"/>
      <c r="E257" s="115"/>
      <c r="F257" s="116"/>
      <c r="G257" s="115"/>
      <c r="H257" s="117"/>
      <c r="I257" s="115"/>
      <c r="J257" s="115"/>
      <c r="K257" s="115"/>
      <c r="L257" s="115"/>
      <c r="M257" s="156">
        <f t="shared" si="48"/>
        <v>0</v>
      </c>
      <c r="N257" s="156"/>
      <c r="O257" s="156"/>
      <c r="P257" s="119">
        <f t="shared" si="49"/>
        <v>0</v>
      </c>
      <c r="Q257" s="115" t="e">
        <f t="shared" si="45"/>
        <v>#DIV/0!</v>
      </c>
      <c r="R257" s="160">
        <f t="shared" si="46"/>
        <v>0</v>
      </c>
      <c r="S257" s="160">
        <f t="shared" si="50"/>
        <v>0</v>
      </c>
      <c r="T257" s="120"/>
      <c r="U257" s="119"/>
      <c r="V257" s="115"/>
      <c r="W257" s="120"/>
      <c r="X257" s="120"/>
      <c r="Y257" s="158"/>
      <c r="Z257" s="160"/>
      <c r="AA257" s="160"/>
      <c r="AB257" s="160"/>
      <c r="AC257" s="160"/>
      <c r="AD257" s="119"/>
      <c r="AE257" s="115"/>
      <c r="AF257" s="115"/>
      <c r="AG257" s="115"/>
      <c r="AH257" s="115"/>
      <c r="AI257" s="115"/>
      <c r="AJ257" s="115"/>
      <c r="AK257" s="115"/>
      <c r="AL257" s="115"/>
    </row>
    <row r="258" spans="1:38">
      <c r="A258" s="13">
        <f t="shared" si="47"/>
        <v>251</v>
      </c>
      <c r="B258" s="123"/>
      <c r="C258" s="116"/>
      <c r="D258" s="116"/>
      <c r="E258" s="115"/>
      <c r="F258" s="116"/>
      <c r="G258" s="115"/>
      <c r="H258" s="117"/>
      <c r="I258" s="115"/>
      <c r="J258" s="115"/>
      <c r="K258" s="115"/>
      <c r="L258" s="115"/>
      <c r="M258" s="156">
        <f t="shared" si="48"/>
        <v>0</v>
      </c>
      <c r="N258" s="156"/>
      <c r="O258" s="156"/>
      <c r="P258" s="119">
        <f t="shared" si="49"/>
        <v>0</v>
      </c>
      <c r="Q258" s="115" t="e">
        <f t="shared" si="45"/>
        <v>#DIV/0!</v>
      </c>
      <c r="R258" s="160">
        <f t="shared" si="46"/>
        <v>0</v>
      </c>
      <c r="S258" s="160">
        <f t="shared" si="50"/>
        <v>0</v>
      </c>
      <c r="T258" s="120"/>
      <c r="U258" s="119"/>
      <c r="V258" s="115"/>
      <c r="W258" s="120"/>
      <c r="X258" s="120"/>
      <c r="Y258" s="158"/>
      <c r="Z258" s="160"/>
      <c r="AA258" s="160"/>
      <c r="AB258" s="160"/>
      <c r="AC258" s="160"/>
      <c r="AD258" s="119"/>
      <c r="AE258" s="115"/>
      <c r="AF258" s="115"/>
      <c r="AG258" s="115"/>
      <c r="AH258" s="115"/>
      <c r="AI258" s="115"/>
      <c r="AJ258" s="115"/>
      <c r="AK258" s="115"/>
      <c r="AL258" s="115"/>
    </row>
    <row r="259" spans="1:38">
      <c r="A259" s="13">
        <f t="shared" si="47"/>
        <v>252</v>
      </c>
      <c r="B259" s="123"/>
      <c r="C259" s="116"/>
      <c r="D259" s="116"/>
      <c r="E259" s="115"/>
      <c r="F259" s="116"/>
      <c r="G259" s="115"/>
      <c r="H259" s="117"/>
      <c r="I259" s="115"/>
      <c r="J259" s="115"/>
      <c r="K259" s="115"/>
      <c r="L259" s="115"/>
      <c r="M259" s="156">
        <f t="shared" si="48"/>
        <v>0</v>
      </c>
      <c r="N259" s="156"/>
      <c r="O259" s="156"/>
      <c r="P259" s="119">
        <f t="shared" si="49"/>
        <v>0</v>
      </c>
      <c r="Q259" s="115" t="e">
        <f t="shared" si="45"/>
        <v>#DIV/0!</v>
      </c>
      <c r="R259" s="160">
        <f t="shared" si="46"/>
        <v>0</v>
      </c>
      <c r="S259" s="160">
        <f t="shared" si="50"/>
        <v>0</v>
      </c>
      <c r="T259" s="120"/>
      <c r="U259" s="119"/>
      <c r="V259" s="115"/>
      <c r="W259" s="120"/>
      <c r="X259" s="120"/>
      <c r="Y259" s="158"/>
      <c r="Z259" s="160"/>
      <c r="AA259" s="160"/>
      <c r="AB259" s="160"/>
      <c r="AC259" s="160"/>
      <c r="AD259" s="119"/>
      <c r="AE259" s="115"/>
      <c r="AF259" s="115"/>
      <c r="AG259" s="115"/>
      <c r="AH259" s="115"/>
      <c r="AI259" s="115"/>
      <c r="AJ259" s="115"/>
      <c r="AK259" s="115"/>
      <c r="AL259" s="115"/>
    </row>
    <row r="260" spans="1:38">
      <c r="A260" s="13">
        <f t="shared" si="47"/>
        <v>253</v>
      </c>
      <c r="B260" s="123"/>
      <c r="C260" s="116"/>
      <c r="D260" s="116"/>
      <c r="E260" s="115"/>
      <c r="F260" s="116"/>
      <c r="G260" s="115"/>
      <c r="H260" s="117"/>
      <c r="I260" s="115"/>
      <c r="J260" s="115"/>
      <c r="K260" s="115"/>
      <c r="L260" s="115"/>
      <c r="M260" s="156">
        <f t="shared" si="48"/>
        <v>0</v>
      </c>
      <c r="N260" s="156"/>
      <c r="O260" s="156"/>
      <c r="P260" s="119">
        <f t="shared" si="49"/>
        <v>0</v>
      </c>
      <c r="Q260" s="115" t="e">
        <f t="shared" si="45"/>
        <v>#DIV/0!</v>
      </c>
      <c r="R260" s="160">
        <f t="shared" si="46"/>
        <v>0</v>
      </c>
      <c r="S260" s="160">
        <f t="shared" si="50"/>
        <v>0</v>
      </c>
      <c r="T260" s="120"/>
      <c r="U260" s="119"/>
      <c r="V260" s="115"/>
      <c r="W260" s="120"/>
      <c r="X260" s="120"/>
      <c r="Y260" s="158"/>
      <c r="Z260" s="160"/>
      <c r="AA260" s="160"/>
      <c r="AB260" s="160"/>
      <c r="AC260" s="160"/>
      <c r="AD260" s="119"/>
      <c r="AE260" s="115"/>
      <c r="AF260" s="115"/>
      <c r="AG260" s="115"/>
      <c r="AH260" s="115"/>
      <c r="AI260" s="115"/>
      <c r="AJ260" s="115"/>
      <c r="AK260" s="115"/>
      <c r="AL260" s="115"/>
    </row>
    <row r="261" spans="1:38">
      <c r="A261" s="13">
        <f t="shared" si="47"/>
        <v>254</v>
      </c>
      <c r="B261" s="123"/>
      <c r="C261" s="116"/>
      <c r="D261" s="116"/>
      <c r="E261" s="115"/>
      <c r="F261" s="116"/>
      <c r="G261" s="115"/>
      <c r="H261" s="117"/>
      <c r="I261" s="115"/>
      <c r="J261" s="115"/>
      <c r="K261" s="115"/>
      <c r="L261" s="115"/>
      <c r="M261" s="156">
        <f t="shared" si="48"/>
        <v>0</v>
      </c>
      <c r="N261" s="156"/>
      <c r="O261" s="156"/>
      <c r="P261" s="119">
        <f t="shared" si="49"/>
        <v>0</v>
      </c>
      <c r="Q261" s="115" t="e">
        <f t="shared" si="45"/>
        <v>#DIV/0!</v>
      </c>
      <c r="R261" s="160">
        <f t="shared" si="46"/>
        <v>0</v>
      </c>
      <c r="S261" s="160">
        <f t="shared" si="50"/>
        <v>0</v>
      </c>
      <c r="T261" s="120"/>
      <c r="U261" s="119"/>
      <c r="V261" s="115"/>
      <c r="W261" s="120"/>
      <c r="X261" s="120"/>
      <c r="Y261" s="158"/>
      <c r="Z261" s="160"/>
      <c r="AA261" s="160"/>
      <c r="AB261" s="160"/>
      <c r="AC261" s="160"/>
      <c r="AD261" s="119"/>
      <c r="AE261" s="115"/>
      <c r="AF261" s="115"/>
      <c r="AG261" s="115"/>
      <c r="AH261" s="115"/>
      <c r="AI261" s="115"/>
      <c r="AJ261" s="115"/>
      <c r="AK261" s="115"/>
      <c r="AL261" s="115"/>
    </row>
    <row r="262" spans="1:38">
      <c r="A262" s="13">
        <f t="shared" si="47"/>
        <v>255</v>
      </c>
      <c r="B262" s="123"/>
      <c r="C262" s="116"/>
      <c r="D262" s="116"/>
      <c r="E262" s="115"/>
      <c r="F262" s="116"/>
      <c r="G262" s="115"/>
      <c r="H262" s="117"/>
      <c r="I262" s="115"/>
      <c r="J262" s="115"/>
      <c r="K262" s="115"/>
      <c r="L262" s="115"/>
      <c r="M262" s="156">
        <f t="shared" si="48"/>
        <v>0</v>
      </c>
      <c r="N262" s="156"/>
      <c r="O262" s="156"/>
      <c r="P262" s="119">
        <f t="shared" si="49"/>
        <v>0</v>
      </c>
      <c r="Q262" s="115" t="e">
        <f t="shared" si="45"/>
        <v>#DIV/0!</v>
      </c>
      <c r="R262" s="160">
        <f t="shared" si="46"/>
        <v>0</v>
      </c>
      <c r="S262" s="160">
        <f t="shared" si="50"/>
        <v>0</v>
      </c>
      <c r="T262" s="120"/>
      <c r="U262" s="119"/>
      <c r="V262" s="115"/>
      <c r="W262" s="120"/>
      <c r="X262" s="120"/>
      <c r="Y262" s="158"/>
      <c r="Z262" s="160"/>
      <c r="AA262" s="160"/>
      <c r="AB262" s="160"/>
      <c r="AC262" s="160"/>
      <c r="AD262" s="119"/>
      <c r="AE262" s="115"/>
      <c r="AF262" s="115"/>
      <c r="AG262" s="115"/>
      <c r="AH262" s="115"/>
      <c r="AI262" s="115"/>
      <c r="AJ262" s="115"/>
      <c r="AK262" s="115"/>
      <c r="AL262" s="115"/>
    </row>
    <row r="263" spans="1:38">
      <c r="A263" s="13">
        <f t="shared" si="47"/>
        <v>256</v>
      </c>
      <c r="B263" s="123"/>
      <c r="C263" s="116"/>
      <c r="D263" s="116"/>
      <c r="E263" s="115"/>
      <c r="F263" s="116"/>
      <c r="G263" s="115"/>
      <c r="H263" s="117"/>
      <c r="I263" s="115"/>
      <c r="J263" s="115"/>
      <c r="K263" s="115"/>
      <c r="L263" s="115"/>
      <c r="M263" s="156">
        <f t="shared" si="48"/>
        <v>0</v>
      </c>
      <c r="N263" s="156"/>
      <c r="O263" s="156"/>
      <c r="P263" s="119">
        <f t="shared" si="49"/>
        <v>0</v>
      </c>
      <c r="Q263" s="115" t="e">
        <f t="shared" si="45"/>
        <v>#DIV/0!</v>
      </c>
      <c r="R263" s="160">
        <f t="shared" si="46"/>
        <v>0</v>
      </c>
      <c r="S263" s="160">
        <f t="shared" si="50"/>
        <v>0</v>
      </c>
      <c r="T263" s="120"/>
      <c r="U263" s="119"/>
      <c r="V263" s="115"/>
      <c r="W263" s="120"/>
      <c r="X263" s="120"/>
      <c r="Y263" s="158"/>
      <c r="Z263" s="160"/>
      <c r="AA263" s="160"/>
      <c r="AB263" s="160"/>
      <c r="AC263" s="160"/>
      <c r="AD263" s="119"/>
      <c r="AE263" s="115"/>
      <c r="AF263" s="115"/>
      <c r="AG263" s="115"/>
      <c r="AH263" s="115"/>
      <c r="AI263" s="115"/>
      <c r="AJ263" s="115"/>
      <c r="AK263" s="115"/>
      <c r="AL263" s="115"/>
    </row>
    <row r="264" spans="1:38">
      <c r="A264" s="13">
        <f t="shared" si="47"/>
        <v>257</v>
      </c>
      <c r="B264" s="123"/>
      <c r="C264" s="116"/>
      <c r="D264" s="116"/>
      <c r="E264" s="115"/>
      <c r="F264" s="116"/>
      <c r="G264" s="115"/>
      <c r="H264" s="117"/>
      <c r="I264" s="115"/>
      <c r="J264" s="115"/>
      <c r="K264" s="115"/>
      <c r="L264" s="115"/>
      <c r="M264" s="156">
        <f t="shared" si="48"/>
        <v>0</v>
      </c>
      <c r="N264" s="156"/>
      <c r="O264" s="156"/>
      <c r="P264" s="119">
        <f t="shared" si="49"/>
        <v>0</v>
      </c>
      <c r="Q264" s="115" t="e">
        <f t="shared" ref="Q264:Q316" si="51">K264/$J264</f>
        <v>#DIV/0!</v>
      </c>
      <c r="R264" s="160">
        <f t="shared" ref="R264:R316" si="52">$J264*$I264</f>
        <v>0</v>
      </c>
      <c r="S264" s="160">
        <f t="shared" si="50"/>
        <v>0</v>
      </c>
      <c r="T264" s="120"/>
      <c r="U264" s="119"/>
      <c r="V264" s="115"/>
      <c r="W264" s="120"/>
      <c r="X264" s="120"/>
      <c r="Y264" s="158"/>
      <c r="Z264" s="160"/>
      <c r="AA264" s="160"/>
      <c r="AB264" s="160"/>
      <c r="AC264" s="160"/>
      <c r="AD264" s="119"/>
      <c r="AE264" s="115"/>
      <c r="AF264" s="115"/>
      <c r="AG264" s="115"/>
      <c r="AH264" s="115"/>
      <c r="AI264" s="115"/>
      <c r="AJ264" s="115"/>
      <c r="AK264" s="115"/>
      <c r="AL264" s="115"/>
    </row>
    <row r="265" spans="1:38">
      <c r="A265" s="13">
        <f t="shared" ref="A265:A316" si="53">A264+1</f>
        <v>258</v>
      </c>
      <c r="B265" s="123"/>
      <c r="C265" s="116"/>
      <c r="D265" s="116"/>
      <c r="E265" s="115"/>
      <c r="F265" s="116"/>
      <c r="G265" s="115"/>
      <c r="H265" s="117"/>
      <c r="I265" s="115"/>
      <c r="J265" s="115"/>
      <c r="K265" s="115"/>
      <c r="L265" s="115"/>
      <c r="M265" s="156">
        <f t="shared" si="48"/>
        <v>0</v>
      </c>
      <c r="N265" s="156"/>
      <c r="O265" s="156"/>
      <c r="P265" s="119">
        <f t="shared" si="49"/>
        <v>0</v>
      </c>
      <c r="Q265" s="115" t="e">
        <f t="shared" si="51"/>
        <v>#DIV/0!</v>
      </c>
      <c r="R265" s="160">
        <f t="shared" si="52"/>
        <v>0</v>
      </c>
      <c r="S265" s="160">
        <f t="shared" si="50"/>
        <v>0</v>
      </c>
      <c r="T265" s="120"/>
      <c r="U265" s="119"/>
      <c r="V265" s="115"/>
      <c r="W265" s="120"/>
      <c r="X265" s="120"/>
      <c r="Y265" s="158"/>
      <c r="Z265" s="160"/>
      <c r="AA265" s="160"/>
      <c r="AB265" s="160"/>
      <c r="AC265" s="160"/>
      <c r="AD265" s="119"/>
      <c r="AE265" s="115"/>
      <c r="AF265" s="115"/>
      <c r="AG265" s="115"/>
      <c r="AH265" s="115"/>
      <c r="AI265" s="115"/>
      <c r="AJ265" s="115"/>
      <c r="AK265" s="115"/>
      <c r="AL265" s="115"/>
    </row>
    <row r="266" spans="1:38">
      <c r="A266" s="13">
        <f t="shared" si="53"/>
        <v>259</v>
      </c>
      <c r="B266" s="123"/>
      <c r="C266" s="116"/>
      <c r="D266" s="116"/>
      <c r="E266" s="115"/>
      <c r="F266" s="116"/>
      <c r="G266" s="115"/>
      <c r="H266" s="117"/>
      <c r="I266" s="115"/>
      <c r="J266" s="115"/>
      <c r="K266" s="115"/>
      <c r="L266" s="115"/>
      <c r="M266" s="156">
        <f t="shared" si="48"/>
        <v>0</v>
      </c>
      <c r="N266" s="156"/>
      <c r="O266" s="156"/>
      <c r="P266" s="119">
        <f t="shared" si="49"/>
        <v>0</v>
      </c>
      <c r="Q266" s="115" t="e">
        <f t="shared" si="51"/>
        <v>#DIV/0!</v>
      </c>
      <c r="R266" s="160">
        <f t="shared" si="52"/>
        <v>0</v>
      </c>
      <c r="S266" s="160">
        <f t="shared" si="50"/>
        <v>0</v>
      </c>
      <c r="T266" s="120"/>
      <c r="U266" s="119"/>
      <c r="V266" s="115"/>
      <c r="W266" s="120"/>
      <c r="X266" s="120"/>
      <c r="Y266" s="158"/>
      <c r="Z266" s="160"/>
      <c r="AA266" s="160"/>
      <c r="AB266" s="160"/>
      <c r="AC266" s="160"/>
      <c r="AD266" s="119"/>
      <c r="AE266" s="115"/>
      <c r="AF266" s="115"/>
      <c r="AG266" s="115"/>
      <c r="AH266" s="115"/>
      <c r="AI266" s="115"/>
      <c r="AJ266" s="115"/>
      <c r="AK266" s="115"/>
      <c r="AL266" s="115"/>
    </row>
    <row r="267" spans="1:38">
      <c r="A267" s="13">
        <f t="shared" si="53"/>
        <v>260</v>
      </c>
      <c r="B267" s="123"/>
      <c r="C267" s="116"/>
      <c r="D267" s="116"/>
      <c r="E267" s="115"/>
      <c r="F267" s="116"/>
      <c r="G267" s="115"/>
      <c r="H267" s="117"/>
      <c r="I267" s="115"/>
      <c r="J267" s="115"/>
      <c r="K267" s="115"/>
      <c r="L267" s="115"/>
      <c r="M267" s="156">
        <f t="shared" si="48"/>
        <v>0</v>
      </c>
      <c r="N267" s="156"/>
      <c r="O267" s="156"/>
      <c r="P267" s="119">
        <f t="shared" si="49"/>
        <v>0</v>
      </c>
      <c r="Q267" s="115" t="e">
        <f t="shared" si="51"/>
        <v>#DIV/0!</v>
      </c>
      <c r="R267" s="160">
        <f t="shared" si="52"/>
        <v>0</v>
      </c>
      <c r="S267" s="160">
        <f t="shared" si="50"/>
        <v>0</v>
      </c>
      <c r="T267" s="120"/>
      <c r="U267" s="119"/>
      <c r="V267" s="115"/>
      <c r="W267" s="120"/>
      <c r="X267" s="120"/>
      <c r="Y267" s="158"/>
      <c r="Z267" s="160"/>
      <c r="AA267" s="160"/>
      <c r="AB267" s="160"/>
      <c r="AC267" s="160"/>
      <c r="AD267" s="119"/>
      <c r="AE267" s="115"/>
      <c r="AF267" s="115"/>
      <c r="AG267" s="115"/>
      <c r="AH267" s="115"/>
      <c r="AI267" s="115"/>
      <c r="AJ267" s="115"/>
      <c r="AK267" s="115"/>
      <c r="AL267" s="115"/>
    </row>
    <row r="268" spans="1:38">
      <c r="A268" s="13">
        <f t="shared" si="53"/>
        <v>261</v>
      </c>
      <c r="B268" s="123"/>
      <c r="C268" s="116"/>
      <c r="D268" s="116"/>
      <c r="E268" s="115"/>
      <c r="F268" s="116"/>
      <c r="G268" s="115"/>
      <c r="H268" s="117"/>
      <c r="I268" s="115"/>
      <c r="J268" s="115"/>
      <c r="K268" s="115"/>
      <c r="L268" s="115"/>
      <c r="M268" s="156">
        <f t="shared" si="48"/>
        <v>0</v>
      </c>
      <c r="N268" s="156"/>
      <c r="O268" s="156"/>
      <c r="P268" s="119">
        <f t="shared" si="49"/>
        <v>0</v>
      </c>
      <c r="Q268" s="115" t="e">
        <f t="shared" si="51"/>
        <v>#DIV/0!</v>
      </c>
      <c r="R268" s="160">
        <f t="shared" si="52"/>
        <v>0</v>
      </c>
      <c r="S268" s="160">
        <f t="shared" si="50"/>
        <v>0</v>
      </c>
      <c r="T268" s="120"/>
      <c r="U268" s="119"/>
      <c r="V268" s="115"/>
      <c r="W268" s="120"/>
      <c r="X268" s="120"/>
      <c r="Y268" s="158"/>
      <c r="Z268" s="160"/>
      <c r="AA268" s="160"/>
      <c r="AB268" s="160"/>
      <c r="AC268" s="160"/>
      <c r="AD268" s="119"/>
      <c r="AE268" s="115"/>
      <c r="AF268" s="115"/>
      <c r="AG268" s="115"/>
      <c r="AH268" s="115"/>
      <c r="AI268" s="115"/>
      <c r="AJ268" s="115"/>
      <c r="AK268" s="115"/>
      <c r="AL268" s="115"/>
    </row>
    <row r="269" spans="1:38">
      <c r="A269" s="13">
        <f t="shared" si="53"/>
        <v>262</v>
      </c>
      <c r="B269" s="123"/>
      <c r="C269" s="116"/>
      <c r="D269" s="116"/>
      <c r="E269" s="115"/>
      <c r="F269" s="116"/>
      <c r="G269" s="115"/>
      <c r="H269" s="117"/>
      <c r="I269" s="115"/>
      <c r="J269" s="115"/>
      <c r="K269" s="115"/>
      <c r="L269" s="115"/>
      <c r="M269" s="156">
        <f t="shared" si="48"/>
        <v>0</v>
      </c>
      <c r="N269" s="156"/>
      <c r="O269" s="156"/>
      <c r="P269" s="119">
        <f t="shared" si="49"/>
        <v>0</v>
      </c>
      <c r="Q269" s="115" t="e">
        <f t="shared" si="51"/>
        <v>#DIV/0!</v>
      </c>
      <c r="R269" s="160">
        <f t="shared" si="52"/>
        <v>0</v>
      </c>
      <c r="S269" s="160">
        <f t="shared" si="50"/>
        <v>0</v>
      </c>
      <c r="T269" s="120"/>
      <c r="U269" s="119"/>
      <c r="V269" s="115"/>
      <c r="W269" s="120"/>
      <c r="X269" s="120"/>
      <c r="Y269" s="158"/>
      <c r="Z269" s="160"/>
      <c r="AA269" s="160"/>
      <c r="AB269" s="160"/>
      <c r="AC269" s="160"/>
      <c r="AD269" s="119"/>
      <c r="AE269" s="115"/>
      <c r="AF269" s="115"/>
      <c r="AG269" s="115"/>
      <c r="AH269" s="115"/>
      <c r="AI269" s="115"/>
      <c r="AJ269" s="115"/>
      <c r="AK269" s="115"/>
      <c r="AL269" s="115"/>
    </row>
    <row r="270" spans="1:38">
      <c r="A270" s="13">
        <f t="shared" si="53"/>
        <v>263</v>
      </c>
      <c r="B270" s="123"/>
      <c r="C270" s="116"/>
      <c r="D270" s="116"/>
      <c r="E270" s="115"/>
      <c r="F270" s="116"/>
      <c r="G270" s="115"/>
      <c r="H270" s="117"/>
      <c r="I270" s="115"/>
      <c r="J270" s="115"/>
      <c r="K270" s="115"/>
      <c r="L270" s="115"/>
      <c r="M270" s="156">
        <f t="shared" si="48"/>
        <v>0</v>
      </c>
      <c r="N270" s="156"/>
      <c r="O270" s="156"/>
      <c r="P270" s="119">
        <f t="shared" si="49"/>
        <v>0</v>
      </c>
      <c r="Q270" s="115" t="e">
        <f t="shared" si="51"/>
        <v>#DIV/0!</v>
      </c>
      <c r="R270" s="160">
        <f t="shared" si="52"/>
        <v>0</v>
      </c>
      <c r="S270" s="160">
        <f t="shared" si="50"/>
        <v>0</v>
      </c>
      <c r="T270" s="120"/>
      <c r="U270" s="119"/>
      <c r="V270" s="115"/>
      <c r="W270" s="120"/>
      <c r="X270" s="120"/>
      <c r="Y270" s="158"/>
      <c r="Z270" s="160"/>
      <c r="AA270" s="160"/>
      <c r="AB270" s="160"/>
      <c r="AC270" s="160"/>
      <c r="AD270" s="119"/>
      <c r="AE270" s="115"/>
      <c r="AF270" s="115"/>
      <c r="AG270" s="115"/>
      <c r="AH270" s="115"/>
      <c r="AI270" s="115"/>
      <c r="AJ270" s="115"/>
      <c r="AK270" s="115"/>
      <c r="AL270" s="115"/>
    </row>
    <row r="271" spans="1:38">
      <c r="A271" s="13">
        <f t="shared" si="53"/>
        <v>264</v>
      </c>
      <c r="B271" s="123"/>
      <c r="C271" s="116"/>
      <c r="D271" s="116"/>
      <c r="E271" s="115"/>
      <c r="F271" s="116"/>
      <c r="G271" s="115"/>
      <c r="H271" s="117"/>
      <c r="I271" s="115"/>
      <c r="J271" s="115"/>
      <c r="K271" s="115"/>
      <c r="L271" s="115"/>
      <c r="M271" s="156">
        <f t="shared" si="48"/>
        <v>0</v>
      </c>
      <c r="N271" s="156"/>
      <c r="O271" s="156"/>
      <c r="P271" s="119">
        <f t="shared" si="49"/>
        <v>0</v>
      </c>
      <c r="Q271" s="115" t="e">
        <f t="shared" si="51"/>
        <v>#DIV/0!</v>
      </c>
      <c r="R271" s="160">
        <f t="shared" si="52"/>
        <v>0</v>
      </c>
      <c r="S271" s="160">
        <f t="shared" si="50"/>
        <v>0</v>
      </c>
      <c r="T271" s="120"/>
      <c r="U271" s="119"/>
      <c r="V271" s="115"/>
      <c r="W271" s="120"/>
      <c r="X271" s="120"/>
      <c r="Y271" s="158"/>
      <c r="Z271" s="160"/>
      <c r="AA271" s="160"/>
      <c r="AB271" s="160"/>
      <c r="AC271" s="160"/>
      <c r="AD271" s="119"/>
      <c r="AE271" s="115"/>
      <c r="AF271" s="115"/>
      <c r="AG271" s="115"/>
      <c r="AH271" s="115"/>
      <c r="AI271" s="115"/>
      <c r="AJ271" s="115"/>
      <c r="AK271" s="115"/>
      <c r="AL271" s="115"/>
    </row>
    <row r="272" spans="1:38">
      <c r="A272" s="13">
        <f t="shared" si="53"/>
        <v>265</v>
      </c>
      <c r="B272" s="123"/>
      <c r="C272" s="116"/>
      <c r="D272" s="116"/>
      <c r="E272" s="115"/>
      <c r="F272" s="116"/>
      <c r="G272" s="115"/>
      <c r="H272" s="117"/>
      <c r="I272" s="115"/>
      <c r="J272" s="115"/>
      <c r="K272" s="115"/>
      <c r="L272" s="115"/>
      <c r="M272" s="156">
        <f t="shared" si="48"/>
        <v>0</v>
      </c>
      <c r="N272" s="156"/>
      <c r="O272" s="156"/>
      <c r="P272" s="119">
        <f t="shared" si="49"/>
        <v>0</v>
      </c>
      <c r="Q272" s="115" t="e">
        <f t="shared" si="51"/>
        <v>#DIV/0!</v>
      </c>
      <c r="R272" s="160">
        <f t="shared" si="52"/>
        <v>0</v>
      </c>
      <c r="S272" s="160">
        <f t="shared" si="50"/>
        <v>0</v>
      </c>
      <c r="T272" s="120"/>
      <c r="U272" s="119"/>
      <c r="V272" s="115"/>
      <c r="W272" s="120"/>
      <c r="X272" s="120"/>
      <c r="Y272" s="158"/>
      <c r="Z272" s="160"/>
      <c r="AA272" s="160"/>
      <c r="AB272" s="160"/>
      <c r="AC272" s="160"/>
      <c r="AD272" s="119"/>
      <c r="AE272" s="115"/>
      <c r="AF272" s="115"/>
      <c r="AG272" s="115"/>
      <c r="AH272" s="115"/>
      <c r="AI272" s="115"/>
      <c r="AJ272" s="115"/>
      <c r="AK272" s="115"/>
      <c r="AL272" s="115"/>
    </row>
    <row r="273" spans="1:38">
      <c r="A273" s="13">
        <f t="shared" si="53"/>
        <v>266</v>
      </c>
      <c r="B273" s="123"/>
      <c r="C273" s="116"/>
      <c r="D273" s="116"/>
      <c r="E273" s="115"/>
      <c r="F273" s="116"/>
      <c r="G273" s="115"/>
      <c r="H273" s="117"/>
      <c r="I273" s="115"/>
      <c r="J273" s="115"/>
      <c r="K273" s="115"/>
      <c r="L273" s="115"/>
      <c r="M273" s="156">
        <f t="shared" si="48"/>
        <v>0</v>
      </c>
      <c r="N273" s="156"/>
      <c r="O273" s="156"/>
      <c r="P273" s="119">
        <f t="shared" si="49"/>
        <v>0</v>
      </c>
      <c r="Q273" s="115" t="e">
        <f t="shared" si="51"/>
        <v>#DIV/0!</v>
      </c>
      <c r="R273" s="160">
        <f t="shared" si="52"/>
        <v>0</v>
      </c>
      <c r="S273" s="160">
        <f t="shared" si="50"/>
        <v>0</v>
      </c>
      <c r="T273" s="120"/>
      <c r="U273" s="119"/>
      <c r="V273" s="115"/>
      <c r="W273" s="120"/>
      <c r="X273" s="120"/>
      <c r="Y273" s="158"/>
      <c r="Z273" s="160"/>
      <c r="AA273" s="160"/>
      <c r="AB273" s="160"/>
      <c r="AC273" s="160"/>
      <c r="AD273" s="119"/>
      <c r="AE273" s="115"/>
      <c r="AF273" s="115"/>
      <c r="AG273" s="115"/>
      <c r="AH273" s="115"/>
      <c r="AI273" s="115"/>
      <c r="AJ273" s="115"/>
      <c r="AK273" s="115"/>
      <c r="AL273" s="115"/>
    </row>
    <row r="274" spans="1:38">
      <c r="A274" s="13">
        <f t="shared" si="53"/>
        <v>267</v>
      </c>
      <c r="B274" s="123"/>
      <c r="C274" s="116"/>
      <c r="D274" s="116"/>
      <c r="E274" s="115"/>
      <c r="F274" s="116"/>
      <c r="G274" s="115"/>
      <c r="H274" s="117"/>
      <c r="I274" s="115"/>
      <c r="J274" s="115"/>
      <c r="K274" s="115"/>
      <c r="L274" s="115"/>
      <c r="M274" s="156">
        <f t="shared" si="48"/>
        <v>0</v>
      </c>
      <c r="N274" s="156"/>
      <c r="O274" s="156"/>
      <c r="P274" s="119">
        <f t="shared" si="49"/>
        <v>0</v>
      </c>
      <c r="Q274" s="115" t="e">
        <f t="shared" si="51"/>
        <v>#DIV/0!</v>
      </c>
      <c r="R274" s="160">
        <f t="shared" si="52"/>
        <v>0</v>
      </c>
      <c r="S274" s="160">
        <f t="shared" si="50"/>
        <v>0</v>
      </c>
      <c r="T274" s="120"/>
      <c r="U274" s="119"/>
      <c r="V274" s="115"/>
      <c r="W274" s="120"/>
      <c r="X274" s="120"/>
      <c r="Y274" s="158"/>
      <c r="Z274" s="160"/>
      <c r="AA274" s="160"/>
      <c r="AB274" s="160"/>
      <c r="AC274" s="160"/>
      <c r="AD274" s="119"/>
      <c r="AE274" s="115"/>
      <c r="AF274" s="115"/>
      <c r="AG274" s="115"/>
      <c r="AH274" s="115"/>
      <c r="AI274" s="115"/>
      <c r="AJ274" s="115"/>
      <c r="AK274" s="115"/>
      <c r="AL274" s="115"/>
    </row>
    <row r="275" spans="1:38">
      <c r="A275" s="13">
        <f t="shared" si="53"/>
        <v>268</v>
      </c>
      <c r="B275" s="123"/>
      <c r="C275" s="116"/>
      <c r="D275" s="116"/>
      <c r="E275" s="115"/>
      <c r="F275" s="116"/>
      <c r="G275" s="115"/>
      <c r="H275" s="117"/>
      <c r="I275" s="115"/>
      <c r="J275" s="115"/>
      <c r="K275" s="115"/>
      <c r="L275" s="115"/>
      <c r="M275" s="156">
        <f t="shared" si="48"/>
        <v>0</v>
      </c>
      <c r="N275" s="156"/>
      <c r="O275" s="156"/>
      <c r="P275" s="119">
        <f t="shared" si="49"/>
        <v>0</v>
      </c>
      <c r="Q275" s="115" t="e">
        <f t="shared" si="51"/>
        <v>#DIV/0!</v>
      </c>
      <c r="R275" s="160">
        <f t="shared" si="52"/>
        <v>0</v>
      </c>
      <c r="S275" s="160">
        <f t="shared" si="50"/>
        <v>0</v>
      </c>
      <c r="T275" s="120"/>
      <c r="U275" s="119"/>
      <c r="V275" s="115"/>
      <c r="W275" s="120"/>
      <c r="X275" s="120"/>
      <c r="Y275" s="158"/>
      <c r="Z275" s="160"/>
      <c r="AA275" s="160"/>
      <c r="AB275" s="160"/>
      <c r="AC275" s="160"/>
      <c r="AD275" s="119"/>
      <c r="AE275" s="115"/>
      <c r="AF275" s="115"/>
      <c r="AG275" s="115"/>
      <c r="AH275" s="115"/>
      <c r="AI275" s="115"/>
      <c r="AJ275" s="115"/>
      <c r="AK275" s="115"/>
      <c r="AL275" s="115"/>
    </row>
    <row r="276" spans="1:38">
      <c r="A276" s="13">
        <f t="shared" si="53"/>
        <v>269</v>
      </c>
      <c r="B276" s="123"/>
      <c r="C276" s="116"/>
      <c r="D276" s="116"/>
      <c r="E276" s="115"/>
      <c r="F276" s="116"/>
      <c r="G276" s="115"/>
      <c r="H276" s="117"/>
      <c r="I276" s="115"/>
      <c r="J276" s="115"/>
      <c r="K276" s="115"/>
      <c r="L276" s="115"/>
      <c r="M276" s="156">
        <f t="shared" si="48"/>
        <v>0</v>
      </c>
      <c r="N276" s="156"/>
      <c r="O276" s="156"/>
      <c r="P276" s="119">
        <f t="shared" si="49"/>
        <v>0</v>
      </c>
      <c r="Q276" s="115" t="e">
        <f t="shared" si="51"/>
        <v>#DIV/0!</v>
      </c>
      <c r="R276" s="160">
        <f t="shared" si="52"/>
        <v>0</v>
      </c>
      <c r="S276" s="160">
        <f t="shared" si="50"/>
        <v>0</v>
      </c>
      <c r="T276" s="120"/>
      <c r="U276" s="119"/>
      <c r="V276" s="115"/>
      <c r="W276" s="120"/>
      <c r="X276" s="120"/>
      <c r="Y276" s="158"/>
      <c r="Z276" s="160"/>
      <c r="AA276" s="160"/>
      <c r="AB276" s="160"/>
      <c r="AC276" s="160"/>
      <c r="AD276" s="119"/>
      <c r="AE276" s="115"/>
      <c r="AF276" s="115"/>
      <c r="AG276" s="115"/>
      <c r="AH276" s="115"/>
      <c r="AI276" s="115"/>
      <c r="AJ276" s="115"/>
      <c r="AK276" s="115"/>
      <c r="AL276" s="115"/>
    </row>
    <row r="277" spans="1:38">
      <c r="A277" s="13">
        <f t="shared" si="53"/>
        <v>270</v>
      </c>
      <c r="B277" s="123"/>
      <c r="C277" s="116"/>
      <c r="D277" s="116"/>
      <c r="E277" s="115"/>
      <c r="F277" s="116"/>
      <c r="G277" s="115"/>
      <c r="H277" s="117"/>
      <c r="I277" s="115"/>
      <c r="J277" s="115"/>
      <c r="K277" s="115"/>
      <c r="L277" s="115"/>
      <c r="M277" s="156">
        <f t="shared" si="48"/>
        <v>0</v>
      </c>
      <c r="N277" s="156"/>
      <c r="O277" s="156"/>
      <c r="P277" s="119">
        <f t="shared" si="49"/>
        <v>0</v>
      </c>
      <c r="Q277" s="115" t="e">
        <f t="shared" si="51"/>
        <v>#DIV/0!</v>
      </c>
      <c r="R277" s="160">
        <f t="shared" si="52"/>
        <v>0</v>
      </c>
      <c r="S277" s="160">
        <f t="shared" si="50"/>
        <v>0</v>
      </c>
      <c r="T277" s="120"/>
      <c r="U277" s="119"/>
      <c r="V277" s="115"/>
      <c r="W277" s="120"/>
      <c r="X277" s="120"/>
      <c r="Y277" s="158"/>
      <c r="Z277" s="160"/>
      <c r="AA277" s="160"/>
      <c r="AB277" s="160"/>
      <c r="AC277" s="160"/>
      <c r="AD277" s="119"/>
      <c r="AE277" s="115"/>
      <c r="AF277" s="115"/>
      <c r="AG277" s="115"/>
      <c r="AH277" s="115"/>
      <c r="AI277" s="115"/>
      <c r="AJ277" s="115"/>
      <c r="AK277" s="115"/>
      <c r="AL277" s="115"/>
    </row>
    <row r="278" spans="1:38">
      <c r="A278" s="13">
        <f t="shared" si="53"/>
        <v>271</v>
      </c>
      <c r="B278" s="123"/>
      <c r="C278" s="116"/>
      <c r="D278" s="116"/>
      <c r="E278" s="115"/>
      <c r="F278" s="116"/>
      <c r="G278" s="115"/>
      <c r="H278" s="117"/>
      <c r="I278" s="115"/>
      <c r="J278" s="115"/>
      <c r="K278" s="115"/>
      <c r="L278" s="115"/>
      <c r="M278" s="156">
        <f t="shared" si="48"/>
        <v>0</v>
      </c>
      <c r="N278" s="156"/>
      <c r="O278" s="156"/>
      <c r="P278" s="119">
        <f t="shared" si="49"/>
        <v>0</v>
      </c>
      <c r="Q278" s="115" t="e">
        <f t="shared" si="51"/>
        <v>#DIV/0!</v>
      </c>
      <c r="R278" s="160">
        <f t="shared" si="52"/>
        <v>0</v>
      </c>
      <c r="S278" s="160">
        <f t="shared" si="50"/>
        <v>0</v>
      </c>
      <c r="T278" s="120"/>
      <c r="U278" s="119"/>
      <c r="V278" s="115"/>
      <c r="W278" s="120"/>
      <c r="X278" s="120"/>
      <c r="Y278" s="158"/>
      <c r="Z278" s="160"/>
      <c r="AA278" s="160"/>
      <c r="AB278" s="160"/>
      <c r="AC278" s="160"/>
      <c r="AD278" s="119"/>
      <c r="AE278" s="115"/>
      <c r="AF278" s="115"/>
      <c r="AG278" s="115"/>
      <c r="AH278" s="115"/>
      <c r="AI278" s="115"/>
      <c r="AJ278" s="115"/>
      <c r="AK278" s="115"/>
      <c r="AL278" s="115"/>
    </row>
    <row r="279" spans="1:38">
      <c r="A279" s="13">
        <f t="shared" si="53"/>
        <v>272</v>
      </c>
      <c r="B279" s="123"/>
      <c r="C279" s="116"/>
      <c r="D279" s="116"/>
      <c r="E279" s="115"/>
      <c r="F279" s="116"/>
      <c r="G279" s="115"/>
      <c r="H279" s="117"/>
      <c r="I279" s="115"/>
      <c r="J279" s="115"/>
      <c r="K279" s="115"/>
      <c r="L279" s="115"/>
      <c r="M279" s="156">
        <f t="shared" si="48"/>
        <v>0</v>
      </c>
      <c r="N279" s="156"/>
      <c r="O279" s="156"/>
      <c r="P279" s="119">
        <f t="shared" si="49"/>
        <v>0</v>
      </c>
      <c r="Q279" s="115" t="e">
        <f t="shared" si="51"/>
        <v>#DIV/0!</v>
      </c>
      <c r="R279" s="160">
        <f t="shared" si="52"/>
        <v>0</v>
      </c>
      <c r="S279" s="160">
        <f t="shared" si="50"/>
        <v>0</v>
      </c>
      <c r="T279" s="120"/>
      <c r="U279" s="119"/>
      <c r="V279" s="115"/>
      <c r="W279" s="120"/>
      <c r="X279" s="120"/>
      <c r="Y279" s="158"/>
      <c r="Z279" s="160"/>
      <c r="AA279" s="160"/>
      <c r="AB279" s="160"/>
      <c r="AC279" s="160"/>
      <c r="AD279" s="119"/>
      <c r="AE279" s="115"/>
      <c r="AF279" s="115"/>
      <c r="AG279" s="115"/>
      <c r="AH279" s="115"/>
      <c r="AI279" s="115"/>
      <c r="AJ279" s="115"/>
      <c r="AK279" s="115"/>
      <c r="AL279" s="115"/>
    </row>
    <row r="280" spans="1:38">
      <c r="A280" s="13">
        <f t="shared" si="53"/>
        <v>273</v>
      </c>
      <c r="B280" s="123"/>
      <c r="C280" s="116"/>
      <c r="D280" s="116"/>
      <c r="E280" s="115"/>
      <c r="F280" s="116"/>
      <c r="G280" s="115"/>
      <c r="H280" s="117"/>
      <c r="I280" s="115"/>
      <c r="J280" s="115"/>
      <c r="K280" s="115"/>
      <c r="L280" s="115"/>
      <c r="M280" s="156">
        <f t="shared" si="48"/>
        <v>0</v>
      </c>
      <c r="N280" s="156"/>
      <c r="O280" s="156"/>
      <c r="P280" s="119">
        <f t="shared" si="49"/>
        <v>0</v>
      </c>
      <c r="Q280" s="115" t="e">
        <f t="shared" si="51"/>
        <v>#DIV/0!</v>
      </c>
      <c r="R280" s="160">
        <f t="shared" si="52"/>
        <v>0</v>
      </c>
      <c r="S280" s="160">
        <f t="shared" si="50"/>
        <v>0</v>
      </c>
      <c r="T280" s="120"/>
      <c r="U280" s="119"/>
      <c r="V280" s="115"/>
      <c r="W280" s="120"/>
      <c r="X280" s="120"/>
      <c r="Y280" s="158"/>
      <c r="Z280" s="160"/>
      <c r="AA280" s="160"/>
      <c r="AB280" s="160"/>
      <c r="AC280" s="160"/>
      <c r="AD280" s="119"/>
      <c r="AE280" s="115"/>
      <c r="AF280" s="115"/>
      <c r="AG280" s="115"/>
      <c r="AH280" s="115"/>
      <c r="AI280" s="115"/>
      <c r="AJ280" s="115"/>
      <c r="AK280" s="115"/>
      <c r="AL280" s="115"/>
    </row>
    <row r="281" spans="1:38">
      <c r="A281" s="13">
        <f t="shared" si="53"/>
        <v>274</v>
      </c>
      <c r="B281" s="123"/>
      <c r="C281" s="116"/>
      <c r="D281" s="116"/>
      <c r="E281" s="115"/>
      <c r="F281" s="116"/>
      <c r="G281" s="115"/>
      <c r="H281" s="117"/>
      <c r="I281" s="115"/>
      <c r="J281" s="115"/>
      <c r="K281" s="115"/>
      <c r="L281" s="115"/>
      <c r="M281" s="156">
        <f t="shared" si="48"/>
        <v>0</v>
      </c>
      <c r="N281" s="156"/>
      <c r="O281" s="156"/>
      <c r="P281" s="119">
        <f t="shared" si="49"/>
        <v>0</v>
      </c>
      <c r="Q281" s="115" t="e">
        <f t="shared" si="51"/>
        <v>#DIV/0!</v>
      </c>
      <c r="R281" s="160">
        <f t="shared" si="52"/>
        <v>0</v>
      </c>
      <c r="S281" s="160">
        <f t="shared" si="50"/>
        <v>0</v>
      </c>
      <c r="T281" s="120"/>
      <c r="U281" s="119"/>
      <c r="V281" s="115"/>
      <c r="W281" s="120"/>
      <c r="X281" s="120"/>
      <c r="Y281" s="158"/>
      <c r="Z281" s="160"/>
      <c r="AA281" s="160"/>
      <c r="AB281" s="160"/>
      <c r="AC281" s="160"/>
      <c r="AD281" s="119"/>
      <c r="AE281" s="115"/>
      <c r="AF281" s="115"/>
      <c r="AG281" s="115"/>
      <c r="AH281" s="115"/>
      <c r="AI281" s="115"/>
      <c r="AJ281" s="115"/>
      <c r="AK281" s="115"/>
      <c r="AL281" s="115"/>
    </row>
    <row r="282" spans="1:38">
      <c r="A282" s="13">
        <f t="shared" si="53"/>
        <v>275</v>
      </c>
      <c r="B282" s="123"/>
      <c r="C282" s="116"/>
      <c r="D282" s="116"/>
      <c r="E282" s="115"/>
      <c r="F282" s="116"/>
      <c r="G282" s="115"/>
      <c r="H282" s="117"/>
      <c r="I282" s="115"/>
      <c r="J282" s="115"/>
      <c r="K282" s="115"/>
      <c r="L282" s="115"/>
      <c r="M282" s="156">
        <f t="shared" si="48"/>
        <v>0</v>
      </c>
      <c r="N282" s="156"/>
      <c r="O282" s="156"/>
      <c r="P282" s="119">
        <f t="shared" si="49"/>
        <v>0</v>
      </c>
      <c r="Q282" s="115" t="e">
        <f t="shared" si="51"/>
        <v>#DIV/0!</v>
      </c>
      <c r="R282" s="160">
        <f t="shared" si="52"/>
        <v>0</v>
      </c>
      <c r="S282" s="160">
        <f t="shared" si="50"/>
        <v>0</v>
      </c>
      <c r="T282" s="120"/>
      <c r="U282" s="119"/>
      <c r="V282" s="115"/>
      <c r="W282" s="120"/>
      <c r="X282" s="120"/>
      <c r="Y282" s="158"/>
      <c r="Z282" s="160"/>
      <c r="AA282" s="160"/>
      <c r="AB282" s="160"/>
      <c r="AC282" s="160"/>
      <c r="AD282" s="119"/>
      <c r="AE282" s="115"/>
      <c r="AF282" s="115"/>
      <c r="AG282" s="115"/>
      <c r="AH282" s="115"/>
      <c r="AI282" s="115"/>
      <c r="AJ282" s="115"/>
      <c r="AK282" s="115"/>
      <c r="AL282" s="115"/>
    </row>
    <row r="283" spans="1:38">
      <c r="A283" s="13">
        <f t="shared" si="53"/>
        <v>276</v>
      </c>
      <c r="B283" s="123"/>
      <c r="C283" s="116"/>
      <c r="D283" s="116"/>
      <c r="E283" s="115"/>
      <c r="F283" s="116"/>
      <c r="G283" s="115"/>
      <c r="H283" s="117"/>
      <c r="I283" s="115"/>
      <c r="J283" s="115"/>
      <c r="K283" s="115"/>
      <c r="L283" s="115"/>
      <c r="M283" s="156">
        <f t="shared" si="48"/>
        <v>0</v>
      </c>
      <c r="N283" s="156"/>
      <c r="O283" s="156"/>
      <c r="P283" s="119">
        <f t="shared" si="49"/>
        <v>0</v>
      </c>
      <c r="Q283" s="115" t="e">
        <f t="shared" si="51"/>
        <v>#DIV/0!</v>
      </c>
      <c r="R283" s="160">
        <f t="shared" si="52"/>
        <v>0</v>
      </c>
      <c r="S283" s="160">
        <f t="shared" si="50"/>
        <v>0</v>
      </c>
      <c r="T283" s="120"/>
      <c r="U283" s="119"/>
      <c r="V283" s="115"/>
      <c r="W283" s="120"/>
      <c r="X283" s="120"/>
      <c r="Y283" s="158"/>
      <c r="Z283" s="160"/>
      <c r="AA283" s="160"/>
      <c r="AB283" s="160"/>
      <c r="AC283" s="160"/>
      <c r="AD283" s="119"/>
      <c r="AE283" s="115"/>
      <c r="AF283" s="115"/>
      <c r="AG283" s="115"/>
      <c r="AH283" s="115"/>
      <c r="AI283" s="115"/>
      <c r="AJ283" s="115"/>
      <c r="AK283" s="115"/>
      <c r="AL283" s="115"/>
    </row>
    <row r="284" spans="1:38">
      <c r="A284" s="13">
        <f t="shared" si="53"/>
        <v>277</v>
      </c>
      <c r="B284" s="123"/>
      <c r="C284" s="116"/>
      <c r="D284" s="116"/>
      <c r="E284" s="115"/>
      <c r="F284" s="116"/>
      <c r="G284" s="115"/>
      <c r="H284" s="117"/>
      <c r="I284" s="115"/>
      <c r="J284" s="115"/>
      <c r="K284" s="115"/>
      <c r="L284" s="115"/>
      <c r="M284" s="156">
        <f t="shared" si="48"/>
        <v>0</v>
      </c>
      <c r="N284" s="156"/>
      <c r="O284" s="156"/>
      <c r="P284" s="119">
        <f t="shared" si="49"/>
        <v>0</v>
      </c>
      <c r="Q284" s="115" t="e">
        <f t="shared" si="51"/>
        <v>#DIV/0!</v>
      </c>
      <c r="R284" s="160">
        <f t="shared" si="52"/>
        <v>0</v>
      </c>
      <c r="S284" s="160">
        <f t="shared" si="50"/>
        <v>0</v>
      </c>
      <c r="T284" s="120"/>
      <c r="U284" s="119"/>
      <c r="V284" s="115"/>
      <c r="W284" s="120"/>
      <c r="X284" s="120"/>
      <c r="Y284" s="158"/>
      <c r="Z284" s="160"/>
      <c r="AA284" s="160"/>
      <c r="AB284" s="160"/>
      <c r="AC284" s="160"/>
      <c r="AD284" s="119"/>
      <c r="AE284" s="115"/>
      <c r="AF284" s="115"/>
      <c r="AG284" s="115"/>
      <c r="AH284" s="115"/>
      <c r="AI284" s="115"/>
      <c r="AJ284" s="115"/>
      <c r="AK284" s="115"/>
      <c r="AL284" s="115"/>
    </row>
    <row r="285" spans="1:38">
      <c r="A285" s="13">
        <f t="shared" si="53"/>
        <v>278</v>
      </c>
      <c r="B285" s="123"/>
      <c r="C285" s="116"/>
      <c r="D285" s="116"/>
      <c r="E285" s="115"/>
      <c r="F285" s="116"/>
      <c r="G285" s="115"/>
      <c r="H285" s="117"/>
      <c r="I285" s="115"/>
      <c r="J285" s="115"/>
      <c r="K285" s="115"/>
      <c r="L285" s="115"/>
      <c r="M285" s="156">
        <f t="shared" si="48"/>
        <v>0</v>
      </c>
      <c r="N285" s="156"/>
      <c r="O285" s="156"/>
      <c r="P285" s="119">
        <f t="shared" si="49"/>
        <v>0</v>
      </c>
      <c r="Q285" s="115" t="e">
        <f t="shared" si="51"/>
        <v>#DIV/0!</v>
      </c>
      <c r="R285" s="160">
        <f t="shared" si="52"/>
        <v>0</v>
      </c>
      <c r="S285" s="160">
        <f t="shared" si="50"/>
        <v>0</v>
      </c>
      <c r="T285" s="120"/>
      <c r="U285" s="119"/>
      <c r="V285" s="115"/>
      <c r="W285" s="120"/>
      <c r="X285" s="120"/>
      <c r="Y285" s="158"/>
      <c r="Z285" s="160"/>
      <c r="AA285" s="160"/>
      <c r="AB285" s="160"/>
      <c r="AC285" s="160"/>
      <c r="AD285" s="119"/>
      <c r="AE285" s="115"/>
      <c r="AF285" s="115"/>
      <c r="AG285" s="115"/>
      <c r="AH285" s="115"/>
      <c r="AI285" s="115"/>
      <c r="AJ285" s="115"/>
      <c r="AK285" s="115"/>
      <c r="AL285" s="115"/>
    </row>
    <row r="286" spans="1:38">
      <c r="A286" s="13">
        <f t="shared" si="53"/>
        <v>279</v>
      </c>
      <c r="B286" s="123"/>
      <c r="C286" s="116"/>
      <c r="D286" s="116"/>
      <c r="E286" s="115"/>
      <c r="F286" s="116"/>
      <c r="G286" s="115"/>
      <c r="H286" s="117"/>
      <c r="I286" s="115"/>
      <c r="J286" s="115"/>
      <c r="K286" s="115"/>
      <c r="L286" s="115"/>
      <c r="M286" s="156">
        <f t="shared" si="48"/>
        <v>0</v>
      </c>
      <c r="N286" s="156"/>
      <c r="O286" s="156"/>
      <c r="P286" s="119">
        <f t="shared" si="49"/>
        <v>0</v>
      </c>
      <c r="Q286" s="115" t="e">
        <f t="shared" si="51"/>
        <v>#DIV/0!</v>
      </c>
      <c r="R286" s="160">
        <f t="shared" si="52"/>
        <v>0</v>
      </c>
      <c r="S286" s="160">
        <f t="shared" si="50"/>
        <v>0</v>
      </c>
      <c r="T286" s="120"/>
      <c r="U286" s="119"/>
      <c r="V286" s="115"/>
      <c r="W286" s="120"/>
      <c r="X286" s="120"/>
      <c r="Y286" s="158"/>
      <c r="Z286" s="160"/>
      <c r="AA286" s="160"/>
      <c r="AB286" s="160"/>
      <c r="AC286" s="160"/>
      <c r="AD286" s="119"/>
      <c r="AE286" s="115"/>
      <c r="AF286" s="115"/>
      <c r="AG286" s="115"/>
      <c r="AH286" s="115"/>
      <c r="AI286" s="115"/>
      <c r="AJ286" s="115"/>
      <c r="AK286" s="115"/>
      <c r="AL286" s="115"/>
    </row>
    <row r="287" spans="1:38">
      <c r="A287" s="13">
        <f t="shared" si="53"/>
        <v>280</v>
      </c>
      <c r="B287" s="123"/>
      <c r="C287" s="116"/>
      <c r="D287" s="116"/>
      <c r="E287" s="115"/>
      <c r="F287" s="116"/>
      <c r="G287" s="115"/>
      <c r="H287" s="117"/>
      <c r="I287" s="115"/>
      <c r="J287" s="115"/>
      <c r="K287" s="115"/>
      <c r="L287" s="115"/>
      <c r="M287" s="156">
        <f t="shared" si="48"/>
        <v>0</v>
      </c>
      <c r="N287" s="156"/>
      <c r="O287" s="156"/>
      <c r="P287" s="119">
        <f t="shared" si="49"/>
        <v>0</v>
      </c>
      <c r="Q287" s="115" t="e">
        <f t="shared" si="51"/>
        <v>#DIV/0!</v>
      </c>
      <c r="R287" s="160">
        <f t="shared" si="52"/>
        <v>0</v>
      </c>
      <c r="S287" s="160">
        <f t="shared" si="50"/>
        <v>0</v>
      </c>
      <c r="T287" s="120"/>
      <c r="U287" s="119"/>
      <c r="V287" s="115"/>
      <c r="W287" s="120"/>
      <c r="X287" s="120"/>
      <c r="Y287" s="158"/>
      <c r="Z287" s="160"/>
      <c r="AA287" s="160"/>
      <c r="AB287" s="160"/>
      <c r="AC287" s="160"/>
      <c r="AD287" s="119"/>
      <c r="AE287" s="115"/>
      <c r="AF287" s="115"/>
      <c r="AG287" s="115"/>
      <c r="AH287" s="115"/>
      <c r="AI287" s="115"/>
      <c r="AJ287" s="115"/>
      <c r="AK287" s="115"/>
      <c r="AL287" s="115"/>
    </row>
    <row r="288" spans="1:38">
      <c r="A288" s="13">
        <f t="shared" si="53"/>
        <v>281</v>
      </c>
      <c r="B288" s="123"/>
      <c r="C288" s="116"/>
      <c r="D288" s="116"/>
      <c r="E288" s="115"/>
      <c r="F288" s="116"/>
      <c r="G288" s="115"/>
      <c r="H288" s="117"/>
      <c r="I288" s="115"/>
      <c r="J288" s="115"/>
      <c r="K288" s="115"/>
      <c r="L288" s="115"/>
      <c r="M288" s="156">
        <f t="shared" si="48"/>
        <v>0</v>
      </c>
      <c r="N288" s="156"/>
      <c r="O288" s="156"/>
      <c r="P288" s="119">
        <f t="shared" si="49"/>
        <v>0</v>
      </c>
      <c r="Q288" s="115" t="e">
        <f t="shared" si="51"/>
        <v>#DIV/0!</v>
      </c>
      <c r="R288" s="160">
        <f t="shared" si="52"/>
        <v>0</v>
      </c>
      <c r="S288" s="160">
        <f t="shared" si="50"/>
        <v>0</v>
      </c>
      <c r="T288" s="120"/>
      <c r="U288" s="119"/>
      <c r="V288" s="115"/>
      <c r="W288" s="120"/>
      <c r="X288" s="120"/>
      <c r="Y288" s="158"/>
      <c r="Z288" s="160"/>
      <c r="AA288" s="160"/>
      <c r="AB288" s="160"/>
      <c r="AC288" s="160"/>
      <c r="AD288" s="119"/>
      <c r="AE288" s="115"/>
      <c r="AF288" s="115"/>
      <c r="AG288" s="115"/>
      <c r="AH288" s="115"/>
      <c r="AI288" s="115"/>
      <c r="AJ288" s="115"/>
      <c r="AK288" s="115"/>
      <c r="AL288" s="115"/>
    </row>
    <row r="289" spans="1:38">
      <c r="A289" s="13">
        <f t="shared" si="53"/>
        <v>282</v>
      </c>
      <c r="B289" s="123"/>
      <c r="C289" s="116"/>
      <c r="D289" s="116"/>
      <c r="E289" s="115"/>
      <c r="F289" s="116"/>
      <c r="G289" s="115"/>
      <c r="H289" s="117"/>
      <c r="I289" s="115"/>
      <c r="J289" s="115"/>
      <c r="K289" s="115"/>
      <c r="L289" s="115"/>
      <c r="M289" s="156">
        <f t="shared" si="48"/>
        <v>0</v>
      </c>
      <c r="N289" s="156"/>
      <c r="O289" s="156"/>
      <c r="P289" s="119">
        <f t="shared" si="49"/>
        <v>0</v>
      </c>
      <c r="Q289" s="115" t="e">
        <f t="shared" si="51"/>
        <v>#DIV/0!</v>
      </c>
      <c r="R289" s="160">
        <f t="shared" si="52"/>
        <v>0</v>
      </c>
      <c r="S289" s="160">
        <f t="shared" si="50"/>
        <v>0</v>
      </c>
      <c r="T289" s="120"/>
      <c r="U289" s="119"/>
      <c r="V289" s="115"/>
      <c r="W289" s="120"/>
      <c r="X289" s="120"/>
      <c r="Y289" s="158"/>
      <c r="Z289" s="160"/>
      <c r="AA289" s="160"/>
      <c r="AB289" s="160"/>
      <c r="AC289" s="160"/>
      <c r="AD289" s="119"/>
      <c r="AE289" s="115"/>
      <c r="AF289" s="115"/>
      <c r="AG289" s="115"/>
      <c r="AH289" s="115"/>
      <c r="AI289" s="115"/>
      <c r="AJ289" s="115"/>
      <c r="AK289" s="115"/>
      <c r="AL289" s="115"/>
    </row>
    <row r="290" spans="1:38">
      <c r="A290" s="13">
        <f t="shared" si="53"/>
        <v>283</v>
      </c>
      <c r="B290" s="123"/>
      <c r="C290" s="116"/>
      <c r="D290" s="116"/>
      <c r="E290" s="115"/>
      <c r="F290" s="116"/>
      <c r="G290" s="115"/>
      <c r="H290" s="117"/>
      <c r="I290" s="115"/>
      <c r="J290" s="115"/>
      <c r="K290" s="115"/>
      <c r="L290" s="115"/>
      <c r="M290" s="156">
        <f t="shared" si="48"/>
        <v>0</v>
      </c>
      <c r="N290" s="156"/>
      <c r="O290" s="156"/>
      <c r="P290" s="119">
        <f t="shared" si="49"/>
        <v>0</v>
      </c>
      <c r="Q290" s="115" t="e">
        <f t="shared" si="51"/>
        <v>#DIV/0!</v>
      </c>
      <c r="R290" s="160">
        <f t="shared" si="52"/>
        <v>0</v>
      </c>
      <c r="S290" s="160">
        <f t="shared" si="50"/>
        <v>0</v>
      </c>
      <c r="T290" s="120"/>
      <c r="U290" s="119"/>
      <c r="V290" s="115"/>
      <c r="W290" s="120"/>
      <c r="X290" s="120"/>
      <c r="Y290" s="158"/>
      <c r="Z290" s="160"/>
      <c r="AA290" s="160"/>
      <c r="AB290" s="160"/>
      <c r="AC290" s="160"/>
      <c r="AD290" s="119"/>
      <c r="AE290" s="115"/>
      <c r="AF290" s="115"/>
      <c r="AG290" s="115"/>
      <c r="AH290" s="115"/>
      <c r="AI290" s="115"/>
      <c r="AJ290" s="115"/>
      <c r="AK290" s="115"/>
      <c r="AL290" s="115"/>
    </row>
    <row r="291" spans="1:38">
      <c r="A291" s="13">
        <f t="shared" si="53"/>
        <v>284</v>
      </c>
      <c r="B291" s="123"/>
      <c r="C291" s="116"/>
      <c r="D291" s="116"/>
      <c r="E291" s="115"/>
      <c r="F291" s="116"/>
      <c r="G291" s="115"/>
      <c r="H291" s="117"/>
      <c r="I291" s="115"/>
      <c r="J291" s="115"/>
      <c r="K291" s="115"/>
      <c r="L291" s="115"/>
      <c r="M291" s="156">
        <f t="shared" si="48"/>
        <v>0</v>
      </c>
      <c r="N291" s="156"/>
      <c r="O291" s="156"/>
      <c r="P291" s="119">
        <f t="shared" si="49"/>
        <v>0</v>
      </c>
      <c r="Q291" s="115" t="e">
        <f t="shared" si="51"/>
        <v>#DIV/0!</v>
      </c>
      <c r="R291" s="160">
        <f t="shared" si="52"/>
        <v>0</v>
      </c>
      <c r="S291" s="160">
        <f t="shared" si="50"/>
        <v>0</v>
      </c>
      <c r="T291" s="120"/>
      <c r="U291" s="119"/>
      <c r="V291" s="115"/>
      <c r="W291" s="120"/>
      <c r="X291" s="120"/>
      <c r="Y291" s="158"/>
      <c r="Z291" s="160"/>
      <c r="AA291" s="160"/>
      <c r="AB291" s="160"/>
      <c r="AC291" s="160"/>
      <c r="AD291" s="119"/>
      <c r="AE291" s="115"/>
      <c r="AF291" s="115"/>
      <c r="AG291" s="115"/>
      <c r="AH291" s="115"/>
      <c r="AI291" s="115"/>
      <c r="AJ291" s="115"/>
      <c r="AK291" s="115"/>
      <c r="AL291" s="115"/>
    </row>
    <row r="292" spans="1:38">
      <c r="A292" s="13">
        <f t="shared" si="53"/>
        <v>285</v>
      </c>
      <c r="B292" s="123"/>
      <c r="C292" s="116"/>
      <c r="D292" s="116"/>
      <c r="E292" s="115"/>
      <c r="F292" s="116"/>
      <c r="G292" s="115"/>
      <c r="H292" s="117"/>
      <c r="I292" s="115"/>
      <c r="J292" s="115"/>
      <c r="K292" s="115"/>
      <c r="L292" s="115"/>
      <c r="M292" s="156">
        <f t="shared" si="48"/>
        <v>0</v>
      </c>
      <c r="N292" s="156"/>
      <c r="O292" s="156"/>
      <c r="P292" s="119">
        <f t="shared" si="49"/>
        <v>0</v>
      </c>
      <c r="Q292" s="115" t="e">
        <f t="shared" si="51"/>
        <v>#DIV/0!</v>
      </c>
      <c r="R292" s="160">
        <f t="shared" si="52"/>
        <v>0</v>
      </c>
      <c r="S292" s="160">
        <f t="shared" si="50"/>
        <v>0</v>
      </c>
      <c r="T292" s="120"/>
      <c r="U292" s="119"/>
      <c r="V292" s="115"/>
      <c r="W292" s="120"/>
      <c r="X292" s="120"/>
      <c r="Y292" s="158"/>
      <c r="Z292" s="160"/>
      <c r="AA292" s="160"/>
      <c r="AB292" s="160"/>
      <c r="AC292" s="160"/>
      <c r="AD292" s="119"/>
      <c r="AE292" s="115"/>
      <c r="AF292" s="115"/>
      <c r="AG292" s="115"/>
      <c r="AH292" s="115"/>
      <c r="AI292" s="115"/>
      <c r="AJ292" s="115"/>
      <c r="AK292" s="115"/>
      <c r="AL292" s="115"/>
    </row>
    <row r="293" spans="1:38">
      <c r="A293" s="13">
        <f t="shared" si="53"/>
        <v>286</v>
      </c>
      <c r="B293" s="123"/>
      <c r="C293" s="116"/>
      <c r="D293" s="116"/>
      <c r="E293" s="115"/>
      <c r="F293" s="116"/>
      <c r="G293" s="115"/>
      <c r="H293" s="117"/>
      <c r="I293" s="115"/>
      <c r="J293" s="115"/>
      <c r="K293" s="115"/>
      <c r="L293" s="115"/>
      <c r="M293" s="156">
        <f t="shared" si="48"/>
        <v>0</v>
      </c>
      <c r="N293" s="156"/>
      <c r="O293" s="156"/>
      <c r="P293" s="119">
        <f t="shared" si="49"/>
        <v>0</v>
      </c>
      <c r="Q293" s="115" t="e">
        <f t="shared" si="51"/>
        <v>#DIV/0!</v>
      </c>
      <c r="R293" s="160">
        <f t="shared" si="52"/>
        <v>0</v>
      </c>
      <c r="S293" s="160">
        <f t="shared" si="50"/>
        <v>0</v>
      </c>
      <c r="T293" s="120"/>
      <c r="U293" s="119"/>
      <c r="V293" s="115"/>
      <c r="W293" s="120"/>
      <c r="X293" s="120"/>
      <c r="Y293" s="158"/>
      <c r="Z293" s="160"/>
      <c r="AA293" s="160"/>
      <c r="AB293" s="160"/>
      <c r="AC293" s="160"/>
      <c r="AD293" s="119"/>
      <c r="AE293" s="115"/>
      <c r="AF293" s="115"/>
      <c r="AG293" s="115"/>
      <c r="AH293" s="115"/>
      <c r="AI293" s="115"/>
      <c r="AJ293" s="115"/>
      <c r="AK293" s="115"/>
      <c r="AL293" s="115"/>
    </row>
    <row r="294" spans="1:38">
      <c r="A294" s="13">
        <f t="shared" si="53"/>
        <v>287</v>
      </c>
      <c r="B294" s="123"/>
      <c r="C294" s="116"/>
      <c r="D294" s="116"/>
      <c r="E294" s="115"/>
      <c r="F294" s="116"/>
      <c r="G294" s="115"/>
      <c r="H294" s="117"/>
      <c r="I294" s="115"/>
      <c r="J294" s="115"/>
      <c r="K294" s="115"/>
      <c r="L294" s="115"/>
      <c r="M294" s="156">
        <f t="shared" si="48"/>
        <v>0</v>
      </c>
      <c r="N294" s="156"/>
      <c r="O294" s="156"/>
      <c r="P294" s="119">
        <f t="shared" si="49"/>
        <v>0</v>
      </c>
      <c r="Q294" s="115" t="e">
        <f t="shared" si="51"/>
        <v>#DIV/0!</v>
      </c>
      <c r="R294" s="160">
        <f t="shared" si="52"/>
        <v>0</v>
      </c>
      <c r="S294" s="160">
        <f t="shared" si="50"/>
        <v>0</v>
      </c>
      <c r="T294" s="120"/>
      <c r="U294" s="119"/>
      <c r="V294" s="115"/>
      <c r="W294" s="120"/>
      <c r="X294" s="120"/>
      <c r="Y294" s="158"/>
      <c r="Z294" s="160"/>
      <c r="AA294" s="160"/>
      <c r="AB294" s="160"/>
      <c r="AC294" s="160"/>
      <c r="AD294" s="119"/>
      <c r="AE294" s="115"/>
      <c r="AF294" s="115"/>
      <c r="AG294" s="115"/>
      <c r="AH294" s="115"/>
      <c r="AI294" s="115"/>
      <c r="AJ294" s="115"/>
      <c r="AK294" s="115"/>
      <c r="AL294" s="115"/>
    </row>
    <row r="295" spans="1:38">
      <c r="A295" s="13">
        <f t="shared" si="53"/>
        <v>288</v>
      </c>
      <c r="B295" s="123"/>
      <c r="C295" s="116"/>
      <c r="D295" s="116"/>
      <c r="E295" s="115"/>
      <c r="F295" s="116"/>
      <c r="G295" s="115"/>
      <c r="H295" s="117"/>
      <c r="I295" s="115"/>
      <c r="J295" s="115"/>
      <c r="K295" s="115"/>
      <c r="L295" s="115"/>
      <c r="M295" s="156">
        <f t="shared" si="48"/>
        <v>0</v>
      </c>
      <c r="N295" s="156"/>
      <c r="O295" s="156"/>
      <c r="P295" s="119">
        <f t="shared" si="49"/>
        <v>0</v>
      </c>
      <c r="Q295" s="115" t="e">
        <f t="shared" si="51"/>
        <v>#DIV/0!</v>
      </c>
      <c r="R295" s="160">
        <f t="shared" si="52"/>
        <v>0</v>
      </c>
      <c r="S295" s="160">
        <f t="shared" si="50"/>
        <v>0</v>
      </c>
      <c r="T295" s="120"/>
      <c r="U295" s="119"/>
      <c r="V295" s="115"/>
      <c r="W295" s="120"/>
      <c r="X295" s="120"/>
      <c r="Y295" s="158"/>
      <c r="Z295" s="160"/>
      <c r="AA295" s="160"/>
      <c r="AB295" s="160"/>
      <c r="AC295" s="160"/>
      <c r="AD295" s="119"/>
      <c r="AE295" s="115"/>
      <c r="AF295" s="115"/>
      <c r="AG295" s="115"/>
      <c r="AH295" s="115"/>
      <c r="AI295" s="115"/>
      <c r="AJ295" s="115"/>
      <c r="AK295" s="115"/>
      <c r="AL295" s="115"/>
    </row>
    <row r="296" spans="1:38">
      <c r="A296" s="13">
        <f t="shared" si="53"/>
        <v>289</v>
      </c>
      <c r="B296" s="123"/>
      <c r="C296" s="116"/>
      <c r="D296" s="116"/>
      <c r="E296" s="115"/>
      <c r="F296" s="116"/>
      <c r="G296" s="115"/>
      <c r="H296" s="117"/>
      <c r="I296" s="115"/>
      <c r="J296" s="115"/>
      <c r="K296" s="115"/>
      <c r="L296" s="115"/>
      <c r="M296" s="156">
        <f t="shared" si="48"/>
        <v>0</v>
      </c>
      <c r="N296" s="156"/>
      <c r="O296" s="156"/>
      <c r="P296" s="119">
        <f t="shared" si="49"/>
        <v>0</v>
      </c>
      <c r="Q296" s="115" t="e">
        <f t="shared" si="51"/>
        <v>#DIV/0!</v>
      </c>
      <c r="R296" s="160">
        <f t="shared" si="52"/>
        <v>0</v>
      </c>
      <c r="S296" s="160">
        <f t="shared" si="50"/>
        <v>0</v>
      </c>
      <c r="T296" s="120"/>
      <c r="U296" s="119"/>
      <c r="V296" s="115"/>
      <c r="W296" s="120"/>
      <c r="X296" s="120"/>
      <c r="Y296" s="158"/>
      <c r="Z296" s="160"/>
      <c r="AA296" s="160"/>
      <c r="AB296" s="160"/>
      <c r="AC296" s="160"/>
      <c r="AD296" s="119"/>
      <c r="AE296" s="115"/>
      <c r="AF296" s="115"/>
      <c r="AG296" s="115"/>
      <c r="AH296" s="115"/>
      <c r="AI296" s="115"/>
      <c r="AJ296" s="115"/>
      <c r="AK296" s="115"/>
      <c r="AL296" s="115"/>
    </row>
    <row r="297" spans="1:38">
      <c r="A297" s="13">
        <f t="shared" si="53"/>
        <v>290</v>
      </c>
      <c r="B297" s="123"/>
      <c r="C297" s="116"/>
      <c r="D297" s="116"/>
      <c r="E297" s="115"/>
      <c r="F297" s="116"/>
      <c r="G297" s="115"/>
      <c r="H297" s="117"/>
      <c r="I297" s="115"/>
      <c r="J297" s="115"/>
      <c r="K297" s="115"/>
      <c r="L297" s="115"/>
      <c r="M297" s="156">
        <f t="shared" si="48"/>
        <v>0</v>
      </c>
      <c r="N297" s="156"/>
      <c r="O297" s="156"/>
      <c r="P297" s="119">
        <f t="shared" si="49"/>
        <v>0</v>
      </c>
      <c r="Q297" s="115" t="e">
        <f t="shared" si="51"/>
        <v>#DIV/0!</v>
      </c>
      <c r="R297" s="160">
        <f t="shared" si="52"/>
        <v>0</v>
      </c>
      <c r="S297" s="160">
        <f t="shared" si="50"/>
        <v>0</v>
      </c>
      <c r="T297" s="120"/>
      <c r="U297" s="119"/>
      <c r="V297" s="115"/>
      <c r="W297" s="120"/>
      <c r="X297" s="120"/>
      <c r="Y297" s="158"/>
      <c r="Z297" s="160"/>
      <c r="AA297" s="160"/>
      <c r="AB297" s="160"/>
      <c r="AC297" s="160"/>
      <c r="AD297" s="119"/>
      <c r="AE297" s="115"/>
      <c r="AF297" s="115"/>
      <c r="AG297" s="115"/>
      <c r="AH297" s="115"/>
      <c r="AI297" s="115"/>
      <c r="AJ297" s="115"/>
      <c r="AK297" s="115"/>
      <c r="AL297" s="115"/>
    </row>
    <row r="298" spans="1:38">
      <c r="A298" s="13">
        <f t="shared" si="53"/>
        <v>291</v>
      </c>
      <c r="B298" s="123"/>
      <c r="C298" s="116"/>
      <c r="D298" s="116"/>
      <c r="E298" s="115"/>
      <c r="F298" s="116"/>
      <c r="G298" s="115"/>
      <c r="H298" s="117"/>
      <c r="I298" s="115"/>
      <c r="J298" s="115"/>
      <c r="K298" s="115"/>
      <c r="L298" s="115"/>
      <c r="M298" s="156">
        <f t="shared" si="48"/>
        <v>0</v>
      </c>
      <c r="N298" s="156"/>
      <c r="O298" s="156"/>
      <c r="P298" s="119">
        <f t="shared" si="49"/>
        <v>0</v>
      </c>
      <c r="Q298" s="115" t="e">
        <f t="shared" si="51"/>
        <v>#DIV/0!</v>
      </c>
      <c r="R298" s="160">
        <f t="shared" si="52"/>
        <v>0</v>
      </c>
      <c r="S298" s="160">
        <f t="shared" si="50"/>
        <v>0</v>
      </c>
      <c r="T298" s="120"/>
      <c r="U298" s="119"/>
      <c r="V298" s="115"/>
      <c r="W298" s="120"/>
      <c r="X298" s="120"/>
      <c r="Y298" s="158"/>
      <c r="Z298" s="160"/>
      <c r="AA298" s="160"/>
      <c r="AB298" s="160"/>
      <c r="AC298" s="160"/>
      <c r="AD298" s="119"/>
      <c r="AE298" s="115"/>
      <c r="AF298" s="115"/>
      <c r="AG298" s="115"/>
      <c r="AH298" s="115"/>
      <c r="AI298" s="115"/>
      <c r="AJ298" s="115"/>
      <c r="AK298" s="115"/>
      <c r="AL298" s="115"/>
    </row>
    <row r="299" spans="1:38">
      <c r="A299" s="13">
        <f t="shared" si="53"/>
        <v>292</v>
      </c>
      <c r="B299" s="123"/>
      <c r="C299" s="116"/>
      <c r="D299" s="116"/>
      <c r="E299" s="115"/>
      <c r="F299" s="116"/>
      <c r="G299" s="115"/>
      <c r="H299" s="117"/>
      <c r="I299" s="115"/>
      <c r="J299" s="115"/>
      <c r="K299" s="115"/>
      <c r="L299" s="115"/>
      <c r="M299" s="156">
        <f t="shared" si="48"/>
        <v>0</v>
      </c>
      <c r="N299" s="156"/>
      <c r="O299" s="156"/>
      <c r="P299" s="119">
        <f t="shared" si="49"/>
        <v>0</v>
      </c>
      <c r="Q299" s="115" t="e">
        <f t="shared" si="51"/>
        <v>#DIV/0!</v>
      </c>
      <c r="R299" s="160">
        <f t="shared" si="52"/>
        <v>0</v>
      </c>
      <c r="S299" s="160">
        <f t="shared" si="50"/>
        <v>0</v>
      </c>
      <c r="T299" s="120"/>
      <c r="U299" s="119"/>
      <c r="V299" s="115"/>
      <c r="W299" s="120"/>
      <c r="X299" s="120"/>
      <c r="Y299" s="158"/>
      <c r="Z299" s="160"/>
      <c r="AA299" s="160"/>
      <c r="AB299" s="160"/>
      <c r="AC299" s="160"/>
      <c r="AD299" s="119"/>
      <c r="AE299" s="115"/>
      <c r="AF299" s="115"/>
      <c r="AG299" s="115"/>
      <c r="AH299" s="115"/>
      <c r="AI299" s="115"/>
      <c r="AJ299" s="115"/>
      <c r="AK299" s="115"/>
      <c r="AL299" s="115"/>
    </row>
    <row r="300" spans="1:38">
      <c r="A300" s="13">
        <f t="shared" si="53"/>
        <v>293</v>
      </c>
      <c r="B300" s="123"/>
      <c r="C300" s="116"/>
      <c r="D300" s="116"/>
      <c r="E300" s="115"/>
      <c r="F300" s="116"/>
      <c r="G300" s="115"/>
      <c r="H300" s="117"/>
      <c r="I300" s="115"/>
      <c r="J300" s="115"/>
      <c r="K300" s="115"/>
      <c r="L300" s="115"/>
      <c r="M300" s="156">
        <f t="shared" si="48"/>
        <v>0</v>
      </c>
      <c r="N300" s="156"/>
      <c r="O300" s="156"/>
      <c r="P300" s="119">
        <f t="shared" si="49"/>
        <v>0</v>
      </c>
      <c r="Q300" s="115" t="e">
        <f t="shared" si="51"/>
        <v>#DIV/0!</v>
      </c>
      <c r="R300" s="160">
        <f t="shared" si="52"/>
        <v>0</v>
      </c>
      <c r="S300" s="160">
        <f t="shared" si="50"/>
        <v>0</v>
      </c>
      <c r="T300" s="120"/>
      <c r="U300" s="119"/>
      <c r="V300" s="115"/>
      <c r="W300" s="120"/>
      <c r="X300" s="120"/>
      <c r="Y300" s="158"/>
      <c r="Z300" s="160"/>
      <c r="AA300" s="160"/>
      <c r="AB300" s="160"/>
      <c r="AC300" s="160"/>
      <c r="AD300" s="119"/>
      <c r="AE300" s="115"/>
      <c r="AF300" s="115"/>
      <c r="AG300" s="115"/>
      <c r="AH300" s="115"/>
      <c r="AI300" s="115"/>
      <c r="AJ300" s="115"/>
      <c r="AK300" s="115"/>
      <c r="AL300" s="115"/>
    </row>
    <row r="301" spans="1:38">
      <c r="A301" s="13">
        <f t="shared" si="53"/>
        <v>294</v>
      </c>
      <c r="B301" s="123"/>
      <c r="C301" s="116"/>
      <c r="D301" s="116"/>
      <c r="E301" s="115"/>
      <c r="F301" s="116"/>
      <c r="G301" s="115"/>
      <c r="H301" s="117"/>
      <c r="I301" s="115"/>
      <c r="J301" s="115"/>
      <c r="K301" s="115"/>
      <c r="L301" s="115"/>
      <c r="M301" s="156">
        <f t="shared" si="48"/>
        <v>0</v>
      </c>
      <c r="N301" s="156"/>
      <c r="O301" s="156"/>
      <c r="P301" s="119">
        <f t="shared" si="49"/>
        <v>0</v>
      </c>
      <c r="Q301" s="115" t="e">
        <f t="shared" si="51"/>
        <v>#DIV/0!</v>
      </c>
      <c r="R301" s="160">
        <f t="shared" si="52"/>
        <v>0</v>
      </c>
      <c r="S301" s="160">
        <f t="shared" si="50"/>
        <v>0</v>
      </c>
      <c r="T301" s="120"/>
      <c r="U301" s="119"/>
      <c r="V301" s="115"/>
      <c r="W301" s="120"/>
      <c r="X301" s="120"/>
      <c r="Y301" s="158"/>
      <c r="Z301" s="160"/>
      <c r="AA301" s="160"/>
      <c r="AB301" s="160"/>
      <c r="AC301" s="160"/>
      <c r="AD301" s="119"/>
      <c r="AE301" s="115"/>
      <c r="AF301" s="115"/>
      <c r="AG301" s="115"/>
      <c r="AH301" s="115"/>
      <c r="AI301" s="115"/>
      <c r="AJ301" s="115"/>
      <c r="AK301" s="115"/>
      <c r="AL301" s="115"/>
    </row>
    <row r="302" spans="1:38">
      <c r="A302" s="13">
        <f t="shared" si="53"/>
        <v>295</v>
      </c>
      <c r="B302" s="123"/>
      <c r="C302" s="116"/>
      <c r="D302" s="116"/>
      <c r="E302" s="115"/>
      <c r="F302" s="116"/>
      <c r="G302" s="115"/>
      <c r="H302" s="117"/>
      <c r="I302" s="115"/>
      <c r="J302" s="115"/>
      <c r="K302" s="115"/>
      <c r="L302" s="115"/>
      <c r="M302" s="156">
        <f t="shared" si="48"/>
        <v>0</v>
      </c>
      <c r="N302" s="156"/>
      <c r="O302" s="156"/>
      <c r="P302" s="119">
        <f t="shared" si="49"/>
        <v>0</v>
      </c>
      <c r="Q302" s="115" t="e">
        <f t="shared" si="51"/>
        <v>#DIV/0!</v>
      </c>
      <c r="R302" s="160">
        <f t="shared" si="52"/>
        <v>0</v>
      </c>
      <c r="S302" s="160">
        <f t="shared" si="50"/>
        <v>0</v>
      </c>
      <c r="T302" s="120"/>
      <c r="U302" s="119"/>
      <c r="V302" s="115"/>
      <c r="W302" s="120"/>
      <c r="X302" s="120"/>
      <c r="Y302" s="158"/>
      <c r="Z302" s="160"/>
      <c r="AA302" s="160"/>
      <c r="AB302" s="160"/>
      <c r="AC302" s="160"/>
      <c r="AD302" s="119"/>
      <c r="AE302" s="115"/>
      <c r="AF302" s="115"/>
      <c r="AG302" s="115"/>
      <c r="AH302" s="115"/>
      <c r="AI302" s="115"/>
      <c r="AJ302" s="115"/>
      <c r="AK302" s="115"/>
      <c r="AL302" s="115"/>
    </row>
    <row r="303" spans="1:38">
      <c r="A303" s="13">
        <f t="shared" si="53"/>
        <v>296</v>
      </c>
      <c r="B303" s="123"/>
      <c r="C303" s="116"/>
      <c r="D303" s="116"/>
      <c r="E303" s="115"/>
      <c r="F303" s="116"/>
      <c r="G303" s="115"/>
      <c r="H303" s="117"/>
      <c r="I303" s="115"/>
      <c r="J303" s="115"/>
      <c r="K303" s="115"/>
      <c r="L303" s="115"/>
      <c r="M303" s="156">
        <f t="shared" si="48"/>
        <v>0</v>
      </c>
      <c r="N303" s="156"/>
      <c r="O303" s="156"/>
      <c r="P303" s="119">
        <f t="shared" si="49"/>
        <v>0</v>
      </c>
      <c r="Q303" s="115" t="e">
        <f t="shared" si="51"/>
        <v>#DIV/0!</v>
      </c>
      <c r="R303" s="160">
        <f t="shared" si="52"/>
        <v>0</v>
      </c>
      <c r="S303" s="160">
        <f t="shared" si="50"/>
        <v>0</v>
      </c>
      <c r="T303" s="120"/>
      <c r="U303" s="119"/>
      <c r="V303" s="115"/>
      <c r="W303" s="120"/>
      <c r="X303" s="120"/>
      <c r="Y303" s="158"/>
      <c r="Z303" s="160"/>
      <c r="AA303" s="160"/>
      <c r="AB303" s="160"/>
      <c r="AC303" s="160"/>
      <c r="AD303" s="119"/>
      <c r="AE303" s="115"/>
      <c r="AF303" s="115"/>
      <c r="AG303" s="115"/>
      <c r="AH303" s="115"/>
      <c r="AI303" s="115"/>
      <c r="AJ303" s="115"/>
      <c r="AK303" s="115"/>
      <c r="AL303" s="115"/>
    </row>
    <row r="304" spans="1:38">
      <c r="A304" s="13">
        <f t="shared" si="53"/>
        <v>297</v>
      </c>
      <c r="B304" s="123"/>
      <c r="C304" s="116"/>
      <c r="D304" s="116"/>
      <c r="E304" s="115"/>
      <c r="F304" s="116"/>
      <c r="G304" s="115"/>
      <c r="H304" s="117"/>
      <c r="I304" s="115"/>
      <c r="J304" s="115"/>
      <c r="K304" s="115"/>
      <c r="L304" s="115"/>
      <c r="M304" s="156">
        <f t="shared" si="48"/>
        <v>0</v>
      </c>
      <c r="N304" s="156"/>
      <c r="O304" s="156"/>
      <c r="P304" s="119">
        <f t="shared" si="49"/>
        <v>0</v>
      </c>
      <c r="Q304" s="115" t="e">
        <f t="shared" si="51"/>
        <v>#DIV/0!</v>
      </c>
      <c r="R304" s="160">
        <f t="shared" si="52"/>
        <v>0</v>
      </c>
      <c r="S304" s="160">
        <f t="shared" si="50"/>
        <v>0</v>
      </c>
      <c r="T304" s="120"/>
      <c r="U304" s="119"/>
      <c r="V304" s="115"/>
      <c r="W304" s="120"/>
      <c r="X304" s="120"/>
      <c r="Y304" s="158"/>
      <c r="Z304" s="160"/>
      <c r="AA304" s="160"/>
      <c r="AB304" s="160"/>
      <c r="AC304" s="160"/>
      <c r="AD304" s="119"/>
      <c r="AE304" s="115"/>
      <c r="AF304" s="115"/>
      <c r="AG304" s="115"/>
      <c r="AH304" s="115"/>
      <c r="AI304" s="115"/>
      <c r="AJ304" s="115"/>
      <c r="AK304" s="115"/>
      <c r="AL304" s="115"/>
    </row>
    <row r="305" spans="1:38">
      <c r="A305" s="13">
        <f t="shared" si="53"/>
        <v>298</v>
      </c>
      <c r="B305" s="123"/>
      <c r="C305" s="116"/>
      <c r="D305" s="116"/>
      <c r="E305" s="115"/>
      <c r="F305" s="116"/>
      <c r="G305" s="115"/>
      <c r="H305" s="117"/>
      <c r="I305" s="115"/>
      <c r="J305" s="115"/>
      <c r="K305" s="115"/>
      <c r="L305" s="115"/>
      <c r="M305" s="156">
        <f t="shared" si="48"/>
        <v>0</v>
      </c>
      <c r="N305" s="156"/>
      <c r="O305" s="156"/>
      <c r="P305" s="119">
        <f t="shared" si="49"/>
        <v>0</v>
      </c>
      <c r="Q305" s="115" t="e">
        <f t="shared" si="51"/>
        <v>#DIV/0!</v>
      </c>
      <c r="R305" s="160">
        <f t="shared" si="52"/>
        <v>0</v>
      </c>
      <c r="S305" s="160">
        <f t="shared" si="50"/>
        <v>0</v>
      </c>
      <c r="T305" s="120"/>
      <c r="U305" s="119"/>
      <c r="V305" s="115"/>
      <c r="W305" s="120"/>
      <c r="X305" s="120"/>
      <c r="Y305" s="158"/>
      <c r="Z305" s="160"/>
      <c r="AA305" s="160"/>
      <c r="AB305" s="160"/>
      <c r="AC305" s="160"/>
      <c r="AD305" s="119"/>
      <c r="AE305" s="115"/>
      <c r="AF305" s="115"/>
      <c r="AG305" s="115"/>
      <c r="AH305" s="115"/>
      <c r="AI305" s="115"/>
      <c r="AJ305" s="115"/>
      <c r="AK305" s="115"/>
      <c r="AL305" s="115"/>
    </row>
    <row r="306" spans="1:38">
      <c r="A306" s="13">
        <f t="shared" si="53"/>
        <v>299</v>
      </c>
      <c r="B306" s="123"/>
      <c r="C306" s="116"/>
      <c r="D306" s="116"/>
      <c r="E306" s="115"/>
      <c r="F306" s="116"/>
      <c r="G306" s="115"/>
      <c r="H306" s="117"/>
      <c r="I306" s="115"/>
      <c r="J306" s="115"/>
      <c r="K306" s="115"/>
      <c r="L306" s="115"/>
      <c r="M306" s="156">
        <f t="shared" si="48"/>
        <v>0</v>
      </c>
      <c r="N306" s="156"/>
      <c r="O306" s="156"/>
      <c r="P306" s="119">
        <f t="shared" si="49"/>
        <v>0</v>
      </c>
      <c r="Q306" s="115" t="e">
        <f t="shared" si="51"/>
        <v>#DIV/0!</v>
      </c>
      <c r="R306" s="160">
        <f t="shared" si="52"/>
        <v>0</v>
      </c>
      <c r="S306" s="160">
        <f t="shared" si="50"/>
        <v>0</v>
      </c>
      <c r="T306" s="120"/>
      <c r="U306" s="119"/>
      <c r="V306" s="115"/>
      <c r="W306" s="120"/>
      <c r="X306" s="120"/>
      <c r="Y306" s="158"/>
      <c r="Z306" s="160"/>
      <c r="AA306" s="160"/>
      <c r="AB306" s="160"/>
      <c r="AC306" s="160"/>
      <c r="AD306" s="119"/>
      <c r="AE306" s="115"/>
      <c r="AF306" s="115"/>
      <c r="AG306" s="115"/>
      <c r="AH306" s="115"/>
      <c r="AI306" s="115"/>
      <c r="AJ306" s="115"/>
      <c r="AK306" s="115"/>
      <c r="AL306" s="115"/>
    </row>
    <row r="307" spans="1:38">
      <c r="A307" s="13">
        <f t="shared" si="53"/>
        <v>300</v>
      </c>
      <c r="B307" s="123"/>
      <c r="C307" s="116"/>
      <c r="D307" s="116"/>
      <c r="E307" s="115"/>
      <c r="F307" s="116"/>
      <c r="G307" s="115"/>
      <c r="H307" s="117"/>
      <c r="I307" s="115"/>
      <c r="J307" s="115"/>
      <c r="K307" s="115"/>
      <c r="L307" s="115"/>
      <c r="M307" s="156">
        <f t="shared" si="48"/>
        <v>0</v>
      </c>
      <c r="N307" s="156"/>
      <c r="O307" s="156"/>
      <c r="P307" s="119">
        <f t="shared" si="49"/>
        <v>0</v>
      </c>
      <c r="Q307" s="115" t="e">
        <f t="shared" si="51"/>
        <v>#DIV/0!</v>
      </c>
      <c r="R307" s="160">
        <f t="shared" si="52"/>
        <v>0</v>
      </c>
      <c r="S307" s="160">
        <f t="shared" si="50"/>
        <v>0</v>
      </c>
      <c r="T307" s="120"/>
      <c r="U307" s="119"/>
      <c r="V307" s="115"/>
      <c r="W307" s="120"/>
      <c r="X307" s="120"/>
      <c r="Y307" s="158"/>
      <c r="Z307" s="160"/>
      <c r="AA307" s="160"/>
      <c r="AB307" s="160"/>
      <c r="AC307" s="160"/>
      <c r="AD307" s="119"/>
      <c r="AE307" s="115"/>
      <c r="AF307" s="115"/>
      <c r="AG307" s="115"/>
      <c r="AH307" s="115"/>
      <c r="AI307" s="115"/>
      <c r="AJ307" s="115"/>
      <c r="AK307" s="115"/>
      <c r="AL307" s="115"/>
    </row>
    <row r="308" spans="1:38">
      <c r="A308" s="13">
        <f t="shared" si="53"/>
        <v>301</v>
      </c>
      <c r="B308" s="123"/>
      <c r="C308" s="116"/>
      <c r="D308" s="116"/>
      <c r="E308" s="115"/>
      <c r="F308" s="116"/>
      <c r="G308" s="115"/>
      <c r="H308" s="117"/>
      <c r="I308" s="115"/>
      <c r="J308" s="115"/>
      <c r="K308" s="115"/>
      <c r="L308" s="115"/>
      <c r="M308" s="156">
        <f t="shared" si="48"/>
        <v>0</v>
      </c>
      <c r="N308" s="156"/>
      <c r="O308" s="156"/>
      <c r="P308" s="119">
        <f t="shared" si="49"/>
        <v>0</v>
      </c>
      <c r="Q308" s="115" t="e">
        <f t="shared" si="51"/>
        <v>#DIV/0!</v>
      </c>
      <c r="R308" s="160">
        <f t="shared" si="52"/>
        <v>0</v>
      </c>
      <c r="S308" s="160">
        <f t="shared" si="50"/>
        <v>0</v>
      </c>
      <c r="T308" s="120"/>
      <c r="U308" s="119"/>
      <c r="V308" s="115"/>
      <c r="W308" s="120"/>
      <c r="X308" s="120"/>
      <c r="Y308" s="158"/>
      <c r="Z308" s="160"/>
      <c r="AA308" s="160"/>
      <c r="AB308" s="160"/>
      <c r="AC308" s="160"/>
      <c r="AD308" s="119"/>
      <c r="AE308" s="115"/>
      <c r="AF308" s="115"/>
      <c r="AG308" s="115"/>
      <c r="AH308" s="115"/>
      <c r="AI308" s="115"/>
      <c r="AJ308" s="115"/>
      <c r="AK308" s="115"/>
      <c r="AL308" s="115"/>
    </row>
    <row r="309" spans="1:38">
      <c r="A309" s="13">
        <f t="shared" si="53"/>
        <v>302</v>
      </c>
      <c r="B309" s="123"/>
      <c r="C309" s="116"/>
      <c r="D309" s="116"/>
      <c r="E309" s="115"/>
      <c r="F309" s="116"/>
      <c r="G309" s="115"/>
      <c r="H309" s="117"/>
      <c r="I309" s="115"/>
      <c r="J309" s="115"/>
      <c r="K309" s="115"/>
      <c r="L309" s="115"/>
      <c r="M309" s="156">
        <f t="shared" ref="M309:M316" si="54">J309*(1+$M$6*IF(C309="B",-1,1))</f>
        <v>0</v>
      </c>
      <c r="N309" s="156"/>
      <c r="O309" s="156"/>
      <c r="P309" s="119">
        <f t="shared" ref="P309:P316" si="55">IF(AND(K309&lt;&gt;0,I309&lt;&gt;0),(IF(C309="B",1,-1))*(K309-J309)*I309-AL309*2,0)</f>
        <v>0</v>
      </c>
      <c r="Q309" s="115" t="e">
        <f t="shared" si="51"/>
        <v>#DIV/0!</v>
      </c>
      <c r="R309" s="160">
        <f t="shared" si="52"/>
        <v>0</v>
      </c>
      <c r="S309" s="160">
        <f t="shared" ref="S309:S316" si="56">(Y309-J309)*I309*IF(C309="B",1,-1)*IF(K309=0,1,0)</f>
        <v>0</v>
      </c>
      <c r="T309" s="120"/>
      <c r="U309" s="119"/>
      <c r="V309" s="115"/>
      <c r="W309" s="120"/>
      <c r="X309" s="120"/>
      <c r="Y309" s="158"/>
      <c r="Z309" s="160"/>
      <c r="AA309" s="160"/>
      <c r="AB309" s="160"/>
      <c r="AC309" s="160"/>
      <c r="AD309" s="119"/>
      <c r="AE309" s="115"/>
      <c r="AF309" s="115"/>
      <c r="AG309" s="115"/>
      <c r="AH309" s="115"/>
      <c r="AI309" s="115"/>
      <c r="AJ309" s="115"/>
      <c r="AK309" s="115"/>
      <c r="AL309" s="115"/>
    </row>
    <row r="310" spans="1:38">
      <c r="A310" s="13">
        <f t="shared" si="53"/>
        <v>303</v>
      </c>
      <c r="B310" s="123"/>
      <c r="C310" s="116"/>
      <c r="D310" s="116"/>
      <c r="E310" s="115"/>
      <c r="F310" s="116"/>
      <c r="G310" s="115"/>
      <c r="H310" s="117"/>
      <c r="I310" s="115"/>
      <c r="J310" s="115"/>
      <c r="K310" s="115"/>
      <c r="L310" s="115"/>
      <c r="M310" s="156">
        <f t="shared" si="54"/>
        <v>0</v>
      </c>
      <c r="N310" s="156"/>
      <c r="O310" s="156"/>
      <c r="P310" s="119">
        <f t="shared" si="55"/>
        <v>0</v>
      </c>
      <c r="Q310" s="115" t="e">
        <f t="shared" si="51"/>
        <v>#DIV/0!</v>
      </c>
      <c r="R310" s="160">
        <f t="shared" si="52"/>
        <v>0</v>
      </c>
      <c r="S310" s="160">
        <f t="shared" si="56"/>
        <v>0</v>
      </c>
      <c r="T310" s="120"/>
      <c r="U310" s="119"/>
      <c r="V310" s="115"/>
      <c r="W310" s="120"/>
      <c r="X310" s="120"/>
      <c r="Y310" s="158"/>
      <c r="Z310" s="160"/>
      <c r="AA310" s="160"/>
      <c r="AB310" s="160"/>
      <c r="AC310" s="160"/>
      <c r="AD310" s="119"/>
      <c r="AE310" s="115"/>
      <c r="AF310" s="115"/>
      <c r="AG310" s="115"/>
      <c r="AH310" s="115"/>
      <c r="AI310" s="115"/>
      <c r="AJ310" s="115"/>
      <c r="AK310" s="115"/>
      <c r="AL310" s="115"/>
    </row>
    <row r="311" spans="1:38">
      <c r="A311" s="13">
        <f t="shared" si="53"/>
        <v>304</v>
      </c>
      <c r="B311" s="123"/>
      <c r="C311" s="116"/>
      <c r="D311" s="116"/>
      <c r="E311" s="115"/>
      <c r="F311" s="116"/>
      <c r="G311" s="115"/>
      <c r="H311" s="117"/>
      <c r="I311" s="115"/>
      <c r="J311" s="115"/>
      <c r="K311" s="115"/>
      <c r="L311" s="115"/>
      <c r="M311" s="156">
        <f t="shared" si="54"/>
        <v>0</v>
      </c>
      <c r="N311" s="156"/>
      <c r="O311" s="156"/>
      <c r="P311" s="119">
        <f t="shared" si="55"/>
        <v>0</v>
      </c>
      <c r="Q311" s="115" t="e">
        <f t="shared" si="51"/>
        <v>#DIV/0!</v>
      </c>
      <c r="R311" s="160">
        <f t="shared" si="52"/>
        <v>0</v>
      </c>
      <c r="S311" s="160">
        <f t="shared" si="56"/>
        <v>0</v>
      </c>
      <c r="T311" s="120"/>
      <c r="U311" s="119"/>
      <c r="V311" s="115"/>
      <c r="W311" s="120"/>
      <c r="X311" s="120"/>
      <c r="Y311" s="158"/>
      <c r="Z311" s="160"/>
      <c r="AA311" s="160"/>
      <c r="AB311" s="160"/>
      <c r="AC311" s="160"/>
      <c r="AD311" s="119"/>
      <c r="AE311" s="115"/>
      <c r="AF311" s="115"/>
      <c r="AG311" s="115"/>
      <c r="AH311" s="115"/>
      <c r="AI311" s="115"/>
      <c r="AJ311" s="115"/>
      <c r="AK311" s="115"/>
      <c r="AL311" s="115"/>
    </row>
    <row r="312" spans="1:38">
      <c r="A312" s="13">
        <f t="shared" si="53"/>
        <v>305</v>
      </c>
      <c r="B312" s="123"/>
      <c r="C312" s="116"/>
      <c r="D312" s="116"/>
      <c r="E312" s="115"/>
      <c r="F312" s="116"/>
      <c r="G312" s="115"/>
      <c r="H312" s="117"/>
      <c r="I312" s="115"/>
      <c r="J312" s="115"/>
      <c r="K312" s="115"/>
      <c r="L312" s="115"/>
      <c r="M312" s="156">
        <f t="shared" si="54"/>
        <v>0</v>
      </c>
      <c r="N312" s="156"/>
      <c r="O312" s="156"/>
      <c r="P312" s="119">
        <f t="shared" si="55"/>
        <v>0</v>
      </c>
      <c r="Q312" s="115" t="e">
        <f t="shared" si="51"/>
        <v>#DIV/0!</v>
      </c>
      <c r="R312" s="160">
        <f t="shared" si="52"/>
        <v>0</v>
      </c>
      <c r="S312" s="160">
        <f t="shared" si="56"/>
        <v>0</v>
      </c>
      <c r="T312" s="120"/>
      <c r="U312" s="119"/>
      <c r="V312" s="115"/>
      <c r="W312" s="120"/>
      <c r="X312" s="120"/>
      <c r="Y312" s="158"/>
      <c r="Z312" s="160"/>
      <c r="AA312" s="160"/>
      <c r="AB312" s="160"/>
      <c r="AC312" s="160"/>
      <c r="AD312" s="119"/>
      <c r="AE312" s="115"/>
      <c r="AF312" s="115"/>
      <c r="AG312" s="115"/>
      <c r="AH312" s="115"/>
      <c r="AI312" s="115"/>
      <c r="AJ312" s="115"/>
      <c r="AK312" s="115"/>
      <c r="AL312" s="115"/>
    </row>
    <row r="313" spans="1:38">
      <c r="A313" s="13">
        <f t="shared" si="53"/>
        <v>306</v>
      </c>
      <c r="B313" s="123"/>
      <c r="C313" s="116"/>
      <c r="D313" s="116"/>
      <c r="E313" s="115"/>
      <c r="F313" s="116"/>
      <c r="G313" s="115"/>
      <c r="H313" s="117"/>
      <c r="I313" s="115"/>
      <c r="J313" s="115"/>
      <c r="K313" s="115"/>
      <c r="L313" s="115"/>
      <c r="M313" s="156">
        <f t="shared" si="54"/>
        <v>0</v>
      </c>
      <c r="N313" s="156"/>
      <c r="O313" s="156"/>
      <c r="P313" s="119">
        <f t="shared" si="55"/>
        <v>0</v>
      </c>
      <c r="Q313" s="115" t="e">
        <f t="shared" si="51"/>
        <v>#DIV/0!</v>
      </c>
      <c r="R313" s="160">
        <f t="shared" si="52"/>
        <v>0</v>
      </c>
      <c r="S313" s="160">
        <f t="shared" si="56"/>
        <v>0</v>
      </c>
      <c r="T313" s="120"/>
      <c r="U313" s="119"/>
      <c r="V313" s="115"/>
      <c r="W313" s="120"/>
      <c r="X313" s="120"/>
      <c r="Y313" s="158"/>
      <c r="Z313" s="160"/>
      <c r="AA313" s="160"/>
      <c r="AB313" s="160"/>
      <c r="AC313" s="160"/>
      <c r="AD313" s="119"/>
      <c r="AE313" s="115"/>
      <c r="AF313" s="115"/>
      <c r="AG313" s="115"/>
      <c r="AH313" s="115"/>
      <c r="AI313" s="115"/>
      <c r="AJ313" s="115"/>
      <c r="AK313" s="115"/>
      <c r="AL313" s="115"/>
    </row>
    <row r="314" spans="1:38">
      <c r="A314" s="13">
        <f t="shared" si="53"/>
        <v>307</v>
      </c>
      <c r="B314" s="123"/>
      <c r="C314" s="116"/>
      <c r="D314" s="116"/>
      <c r="E314" s="115"/>
      <c r="F314" s="116"/>
      <c r="G314" s="115"/>
      <c r="H314" s="117"/>
      <c r="I314" s="115"/>
      <c r="J314" s="115"/>
      <c r="K314" s="115"/>
      <c r="L314" s="115"/>
      <c r="M314" s="156">
        <f t="shared" si="54"/>
        <v>0</v>
      </c>
      <c r="N314" s="156"/>
      <c r="O314" s="156"/>
      <c r="P314" s="119">
        <f t="shared" si="55"/>
        <v>0</v>
      </c>
      <c r="Q314" s="115" t="e">
        <f t="shared" si="51"/>
        <v>#DIV/0!</v>
      </c>
      <c r="R314" s="160">
        <f t="shared" si="52"/>
        <v>0</v>
      </c>
      <c r="S314" s="160">
        <f t="shared" si="56"/>
        <v>0</v>
      </c>
      <c r="T314" s="120"/>
      <c r="U314" s="119"/>
      <c r="V314" s="115"/>
      <c r="W314" s="120"/>
      <c r="X314" s="120"/>
      <c r="Y314" s="158"/>
      <c r="Z314" s="160"/>
      <c r="AA314" s="160"/>
      <c r="AB314" s="160"/>
      <c r="AC314" s="160"/>
      <c r="AD314" s="119"/>
      <c r="AE314" s="115"/>
      <c r="AF314" s="115"/>
      <c r="AG314" s="115"/>
      <c r="AH314" s="115"/>
      <c r="AI314" s="115"/>
      <c r="AJ314" s="115"/>
      <c r="AK314" s="115"/>
      <c r="AL314" s="115"/>
    </row>
    <row r="315" spans="1:38">
      <c r="A315" s="13">
        <f t="shared" si="53"/>
        <v>308</v>
      </c>
      <c r="B315" s="123"/>
      <c r="C315" s="116"/>
      <c r="D315" s="116"/>
      <c r="E315" s="115"/>
      <c r="F315" s="116"/>
      <c r="G315" s="115"/>
      <c r="H315" s="117"/>
      <c r="I315" s="115"/>
      <c r="J315" s="115"/>
      <c r="K315" s="115"/>
      <c r="L315" s="115"/>
      <c r="M315" s="156">
        <f t="shared" si="54"/>
        <v>0</v>
      </c>
      <c r="N315" s="156"/>
      <c r="O315" s="156"/>
      <c r="P315" s="119">
        <f t="shared" si="55"/>
        <v>0</v>
      </c>
      <c r="Q315" s="115" t="e">
        <f t="shared" si="51"/>
        <v>#DIV/0!</v>
      </c>
      <c r="R315" s="160">
        <f t="shared" si="52"/>
        <v>0</v>
      </c>
      <c r="S315" s="160">
        <f t="shared" si="56"/>
        <v>0</v>
      </c>
      <c r="T315" s="120"/>
      <c r="U315" s="119"/>
      <c r="V315" s="115"/>
      <c r="W315" s="120"/>
      <c r="X315" s="120"/>
      <c r="Y315" s="158"/>
      <c r="Z315" s="160"/>
      <c r="AA315" s="160"/>
      <c r="AB315" s="160"/>
      <c r="AC315" s="160"/>
      <c r="AD315" s="119"/>
      <c r="AE315" s="115"/>
      <c r="AF315" s="115"/>
      <c r="AG315" s="115"/>
      <c r="AH315" s="115"/>
      <c r="AI315" s="115"/>
      <c r="AJ315" s="115"/>
      <c r="AK315" s="115"/>
      <c r="AL315" s="115"/>
    </row>
    <row r="316" spans="1:38">
      <c r="A316" s="13">
        <f t="shared" si="53"/>
        <v>309</v>
      </c>
      <c r="B316" s="123"/>
      <c r="C316" s="116"/>
      <c r="D316" s="116"/>
      <c r="E316" s="115"/>
      <c r="F316" s="116"/>
      <c r="G316" s="115"/>
      <c r="H316" s="117"/>
      <c r="I316" s="115"/>
      <c r="J316" s="115"/>
      <c r="K316" s="115"/>
      <c r="L316" s="115"/>
      <c r="M316" s="156">
        <f t="shared" si="54"/>
        <v>0</v>
      </c>
      <c r="N316" s="156"/>
      <c r="O316" s="156"/>
      <c r="P316" s="119">
        <f t="shared" si="55"/>
        <v>0</v>
      </c>
      <c r="Q316" s="115" t="e">
        <f t="shared" si="51"/>
        <v>#DIV/0!</v>
      </c>
      <c r="R316" s="160">
        <f t="shared" si="52"/>
        <v>0</v>
      </c>
      <c r="S316" s="160">
        <f t="shared" si="56"/>
        <v>0</v>
      </c>
      <c r="T316" s="120"/>
      <c r="U316" s="119"/>
      <c r="V316" s="115"/>
      <c r="W316" s="120"/>
      <c r="X316" s="120"/>
      <c r="Y316" s="158"/>
      <c r="Z316" s="160"/>
      <c r="AA316" s="160"/>
      <c r="AB316" s="160"/>
      <c r="AC316" s="160"/>
      <c r="AD316" s="119"/>
      <c r="AE316" s="115"/>
      <c r="AF316" s="115"/>
      <c r="AG316" s="115"/>
      <c r="AH316" s="115"/>
      <c r="AI316" s="115"/>
      <c r="AJ316" s="115"/>
      <c r="AK316" s="115"/>
      <c r="AL316" s="115"/>
    </row>
  </sheetData>
  <mergeCells count="6">
    <mergeCell ref="E2:F2"/>
    <mergeCell ref="H2:I2"/>
    <mergeCell ref="J2:K2"/>
    <mergeCell ref="E3:F3"/>
    <mergeCell ref="H3:I3"/>
    <mergeCell ref="J3:K3"/>
  </mergeCells>
  <conditionalFormatting sqref="G3">
    <cfRule type="cellIs" dxfId="11" priority="1" operator="lessThan">
      <formula>0</formula>
    </cfRule>
    <cfRule type="cellIs" dxfId="10" priority="2" operator="greaterThan">
      <formula>0</formula>
    </cfRule>
  </conditionalFormatting>
  <conditionalFormatting sqref="E3">
    <cfRule type="cellIs" dxfId="9" priority="11" operator="lessThan">
      <formula>0</formula>
    </cfRule>
    <cfRule type="cellIs" dxfId="8" priority="12" operator="greaterThan">
      <formula>0</formula>
    </cfRule>
  </conditionalFormatting>
  <conditionalFormatting sqref="H3">
    <cfRule type="cellIs" dxfId="7" priority="9" operator="lessThan">
      <formula>0</formula>
    </cfRule>
    <cfRule type="cellIs" dxfId="6" priority="10" operator="greaterThan">
      <formula>0</formula>
    </cfRule>
  </conditionalFormatting>
  <conditionalFormatting sqref="J3">
    <cfRule type="cellIs" dxfId="5" priority="7" operator="lessThan">
      <formula>0</formula>
    </cfRule>
    <cfRule type="cellIs" dxfId="4" priority="8" operator="greaterThan">
      <formula>0</formula>
    </cfRule>
  </conditionalFormatting>
  <conditionalFormatting sqref="P3">
    <cfRule type="cellIs" dxfId="3" priority="5" operator="lessThan">
      <formula>0</formula>
    </cfRule>
    <cfRule type="cellIs" dxfId="2" priority="6" operator="greaterThan">
      <formula>0</formula>
    </cfRule>
  </conditionalFormatting>
  <conditionalFormatting sqref="M3:O3">
    <cfRule type="cellIs" dxfId="1" priority="3" operator="lessThan">
      <formula>0</formula>
    </cfRule>
    <cfRule type="cellIs" dxfId="0" priority="4" operator="greaterThan">
      <formula>0</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T177"/>
  <sheetViews>
    <sheetView workbookViewId="0">
      <selection activeCell="B2" sqref="B2:C177"/>
    </sheetView>
  </sheetViews>
  <sheetFormatPr defaultRowHeight="15"/>
  <cols>
    <col min="2" max="2" width="14.5703125" bestFit="1" customWidth="1"/>
    <col min="3" max="3" width="14.5703125" customWidth="1"/>
  </cols>
  <sheetData>
    <row r="1" spans="1:20">
      <c r="A1" t="s">
        <v>148</v>
      </c>
      <c r="B1" t="s">
        <v>149</v>
      </c>
      <c r="D1" s="38">
        <v>44440</v>
      </c>
      <c r="E1" s="38">
        <v>44470</v>
      </c>
      <c r="F1" s="38">
        <v>44501</v>
      </c>
      <c r="G1" s="38">
        <v>44531</v>
      </c>
      <c r="H1" s="38">
        <v>44621</v>
      </c>
      <c r="I1" s="38">
        <v>44713</v>
      </c>
      <c r="J1" s="38">
        <v>44896</v>
      </c>
      <c r="K1" s="38">
        <v>45078</v>
      </c>
      <c r="L1" s="38">
        <v>45261</v>
      </c>
      <c r="M1" s="38">
        <v>45444</v>
      </c>
      <c r="N1" s="38">
        <v>45627</v>
      </c>
      <c r="O1" s="38">
        <v>45809</v>
      </c>
      <c r="P1" s="38">
        <v>45992</v>
      </c>
      <c r="Q1" s="38">
        <v>46174</v>
      </c>
    </row>
    <row r="2" spans="1:20">
      <c r="A2" t="s">
        <v>150</v>
      </c>
      <c r="B2" t="s">
        <v>506</v>
      </c>
      <c r="C2" t="s">
        <v>89</v>
      </c>
      <c r="D2">
        <v>25</v>
      </c>
      <c r="E2">
        <v>25</v>
      </c>
      <c r="F2">
        <v>25</v>
      </c>
      <c r="G2">
        <v>25</v>
      </c>
      <c r="H2">
        <v>25</v>
      </c>
      <c r="I2">
        <v>25</v>
      </c>
      <c r="J2" t="s">
        <v>151</v>
      </c>
      <c r="K2" t="s">
        <v>151</v>
      </c>
      <c r="L2" t="s">
        <v>151</v>
      </c>
      <c r="M2" t="s">
        <v>151</v>
      </c>
      <c r="N2" t="s">
        <v>151</v>
      </c>
      <c r="O2" t="s">
        <v>151</v>
      </c>
      <c r="P2" t="s">
        <v>151</v>
      </c>
      <c r="Q2" t="s">
        <v>151</v>
      </c>
      <c r="S2" t="str">
        <f>TRIM(B2)</f>
        <v>BANKNIFTY</v>
      </c>
      <c r="T2" t="str">
        <f>TRIM(C2)</f>
        <v>NIFTY BANK</v>
      </c>
    </row>
    <row r="3" spans="1:20">
      <c r="A3" t="s">
        <v>152</v>
      </c>
      <c r="B3" t="s">
        <v>502</v>
      </c>
      <c r="C3" t="s">
        <v>88</v>
      </c>
      <c r="D3">
        <v>50</v>
      </c>
      <c r="E3">
        <v>50</v>
      </c>
      <c r="F3">
        <v>50</v>
      </c>
      <c r="G3">
        <v>50</v>
      </c>
      <c r="H3">
        <v>50</v>
      </c>
      <c r="I3">
        <v>50</v>
      </c>
      <c r="J3">
        <v>50</v>
      </c>
      <c r="K3">
        <v>50</v>
      </c>
      <c r="L3">
        <v>50</v>
      </c>
      <c r="M3">
        <v>50</v>
      </c>
      <c r="N3">
        <v>50</v>
      </c>
      <c r="O3">
        <v>50</v>
      </c>
      <c r="P3">
        <v>50</v>
      </c>
      <c r="Q3">
        <v>50</v>
      </c>
      <c r="S3" t="str">
        <f t="shared" ref="S3:S66" si="0">TRIM(B3)</f>
        <v>NIFTY</v>
      </c>
      <c r="T3" t="str">
        <f t="shared" ref="T3:T66" si="1">TRIM(C3)</f>
        <v>NIFTY 50</v>
      </c>
    </row>
    <row r="4" spans="1:20">
      <c r="A4" t="s">
        <v>153</v>
      </c>
      <c r="B4" t="s">
        <v>638</v>
      </c>
      <c r="C4" t="s">
        <v>507</v>
      </c>
      <c r="D4">
        <v>40</v>
      </c>
      <c r="E4">
        <v>40</v>
      </c>
      <c r="F4">
        <v>40</v>
      </c>
      <c r="G4" t="s">
        <v>151</v>
      </c>
      <c r="H4" t="s">
        <v>151</v>
      </c>
      <c r="I4" t="s">
        <v>151</v>
      </c>
      <c r="J4" t="s">
        <v>151</v>
      </c>
      <c r="K4" t="s">
        <v>151</v>
      </c>
      <c r="L4" t="s">
        <v>151</v>
      </c>
      <c r="M4" t="s">
        <v>151</v>
      </c>
      <c r="N4" t="s">
        <v>151</v>
      </c>
      <c r="O4" t="s">
        <v>151</v>
      </c>
      <c r="P4" t="s">
        <v>151</v>
      </c>
      <c r="Q4" t="s">
        <v>151</v>
      </c>
      <c r="S4" t="str">
        <f t="shared" si="0"/>
        <v>FINNIFTY</v>
      </c>
      <c r="T4" t="str">
        <f t="shared" si="1"/>
        <v>NIFTY FINANCIAL SERVICES</v>
      </c>
    </row>
    <row r="5" spans="1:20">
      <c r="A5" t="s">
        <v>154</v>
      </c>
      <c r="B5" t="s">
        <v>2</v>
      </c>
      <c r="C5" t="s">
        <v>639</v>
      </c>
      <c r="D5" s="38">
        <v>44440</v>
      </c>
      <c r="E5" s="38">
        <v>44470</v>
      </c>
      <c r="F5" s="38">
        <v>44501</v>
      </c>
      <c r="G5" t="s">
        <v>151</v>
      </c>
      <c r="H5" t="s">
        <v>151</v>
      </c>
      <c r="I5" t="s">
        <v>151</v>
      </c>
      <c r="J5" t="s">
        <v>151</v>
      </c>
      <c r="K5" t="s">
        <v>151</v>
      </c>
      <c r="L5" t="s">
        <v>151</v>
      </c>
      <c r="M5" t="s">
        <v>151</v>
      </c>
      <c r="N5" t="s">
        <v>151</v>
      </c>
      <c r="O5" t="s">
        <v>151</v>
      </c>
      <c r="P5" t="s">
        <v>151</v>
      </c>
      <c r="Q5" t="s">
        <v>151</v>
      </c>
      <c r="S5" t="str">
        <f t="shared" si="0"/>
        <v>Symbol</v>
      </c>
      <c r="T5" t="str">
        <f t="shared" si="1"/>
        <v/>
      </c>
    </row>
    <row r="6" spans="1:20">
      <c r="A6" t="s">
        <v>155</v>
      </c>
      <c r="B6" t="s">
        <v>91</v>
      </c>
      <c r="C6" t="s">
        <v>91</v>
      </c>
      <c r="D6">
        <v>500</v>
      </c>
      <c r="E6">
        <v>500</v>
      </c>
      <c r="F6">
        <v>500</v>
      </c>
      <c r="G6" t="s">
        <v>151</v>
      </c>
      <c r="I6" t="s">
        <v>151</v>
      </c>
      <c r="J6" t="s">
        <v>151</v>
      </c>
      <c r="K6" t="s">
        <v>151</v>
      </c>
      <c r="L6" t="s">
        <v>151</v>
      </c>
      <c r="M6" t="s">
        <v>151</v>
      </c>
      <c r="N6" t="s">
        <v>151</v>
      </c>
      <c r="O6" t="s">
        <v>151</v>
      </c>
      <c r="P6" t="s">
        <v>151</v>
      </c>
      <c r="Q6" t="s">
        <v>151</v>
      </c>
      <c r="S6" t="str">
        <f t="shared" si="0"/>
        <v>ACC</v>
      </c>
      <c r="T6" t="str">
        <f t="shared" si="1"/>
        <v>ACC</v>
      </c>
    </row>
    <row r="7" spans="1:20">
      <c r="A7" t="s">
        <v>156</v>
      </c>
      <c r="B7" t="s">
        <v>157</v>
      </c>
      <c r="C7" t="s">
        <v>157</v>
      </c>
      <c r="D7">
        <v>1250</v>
      </c>
      <c r="E7">
        <v>1250</v>
      </c>
      <c r="F7">
        <v>1250</v>
      </c>
      <c r="G7" t="s">
        <v>151</v>
      </c>
      <c r="I7" t="s">
        <v>151</v>
      </c>
      <c r="J7" t="s">
        <v>151</v>
      </c>
      <c r="K7" t="s">
        <v>151</v>
      </c>
      <c r="L7" t="s">
        <v>151</v>
      </c>
      <c r="M7" t="s">
        <v>151</v>
      </c>
      <c r="N7" t="s">
        <v>151</v>
      </c>
      <c r="O7" t="s">
        <v>151</v>
      </c>
      <c r="P7" t="s">
        <v>151</v>
      </c>
      <c r="Q7" t="s">
        <v>151</v>
      </c>
      <c r="S7" t="str">
        <f t="shared" si="0"/>
        <v>ADANIPORTS</v>
      </c>
      <c r="T7" t="str">
        <f t="shared" si="1"/>
        <v>ADANIPORTS</v>
      </c>
    </row>
    <row r="8" spans="1:20">
      <c r="A8" t="s">
        <v>158</v>
      </c>
      <c r="B8" t="s">
        <v>359</v>
      </c>
      <c r="C8" t="s">
        <v>359</v>
      </c>
      <c r="D8">
        <v>850</v>
      </c>
      <c r="E8">
        <v>850</v>
      </c>
      <c r="F8">
        <v>850</v>
      </c>
      <c r="G8" t="s">
        <v>151</v>
      </c>
      <c r="I8" t="s">
        <v>151</v>
      </c>
      <c r="J8" t="s">
        <v>151</v>
      </c>
      <c r="K8" t="s">
        <v>151</v>
      </c>
      <c r="L8" t="s">
        <v>151</v>
      </c>
      <c r="M8" t="s">
        <v>151</v>
      </c>
      <c r="N8" t="s">
        <v>151</v>
      </c>
      <c r="O8" t="s">
        <v>151</v>
      </c>
      <c r="P8" t="s">
        <v>151</v>
      </c>
      <c r="Q8" t="s">
        <v>151</v>
      </c>
      <c r="S8" t="str">
        <f t="shared" si="0"/>
        <v>AARTIIND</v>
      </c>
      <c r="T8" t="str">
        <f t="shared" si="1"/>
        <v>AARTIIND</v>
      </c>
    </row>
    <row r="9" spans="1:20">
      <c r="A9" t="s">
        <v>159</v>
      </c>
      <c r="B9" t="s">
        <v>360</v>
      </c>
      <c r="C9" t="s">
        <v>360</v>
      </c>
      <c r="D9">
        <v>200</v>
      </c>
      <c r="E9">
        <v>200</v>
      </c>
      <c r="F9">
        <v>200</v>
      </c>
      <c r="G9" t="s">
        <v>151</v>
      </c>
      <c r="I9" t="s">
        <v>151</v>
      </c>
      <c r="J9" t="s">
        <v>151</v>
      </c>
      <c r="K9" t="s">
        <v>151</v>
      </c>
      <c r="L9" t="s">
        <v>151</v>
      </c>
      <c r="M9" t="s">
        <v>151</v>
      </c>
      <c r="N9" t="s">
        <v>151</v>
      </c>
      <c r="O9" t="s">
        <v>151</v>
      </c>
      <c r="P9" t="s">
        <v>151</v>
      </c>
      <c r="Q9" t="s">
        <v>151</v>
      </c>
      <c r="S9" t="str">
        <f t="shared" si="0"/>
        <v>ALKEM</v>
      </c>
      <c r="T9" t="str">
        <f t="shared" si="1"/>
        <v>ALKEM</v>
      </c>
    </row>
    <row r="10" spans="1:20">
      <c r="A10" t="s">
        <v>160</v>
      </c>
      <c r="B10" t="s">
        <v>361</v>
      </c>
      <c r="C10" t="s">
        <v>361</v>
      </c>
      <c r="D10">
        <v>4500</v>
      </c>
      <c r="E10">
        <v>4500</v>
      </c>
      <c r="F10">
        <v>4500</v>
      </c>
      <c r="G10" t="s">
        <v>151</v>
      </c>
      <c r="I10" t="s">
        <v>151</v>
      </c>
      <c r="J10" t="s">
        <v>151</v>
      </c>
      <c r="K10" t="s">
        <v>151</v>
      </c>
      <c r="L10" t="s">
        <v>151</v>
      </c>
      <c r="M10" t="s">
        <v>151</v>
      </c>
      <c r="N10" t="s">
        <v>151</v>
      </c>
      <c r="O10" t="s">
        <v>151</v>
      </c>
      <c r="P10" t="s">
        <v>151</v>
      </c>
      <c r="Q10" t="s">
        <v>151</v>
      </c>
      <c r="S10" t="str">
        <f t="shared" si="0"/>
        <v>ASHOKLEY</v>
      </c>
      <c r="T10" t="str">
        <f t="shared" si="1"/>
        <v>ASHOKLEY</v>
      </c>
    </row>
    <row r="11" spans="1:20">
      <c r="A11" t="s">
        <v>161</v>
      </c>
      <c r="B11" t="s">
        <v>96</v>
      </c>
      <c r="C11" t="s">
        <v>96</v>
      </c>
      <c r="D11">
        <v>300</v>
      </c>
      <c r="E11">
        <v>300</v>
      </c>
      <c r="F11">
        <v>300</v>
      </c>
      <c r="G11" t="s">
        <v>151</v>
      </c>
      <c r="I11" t="s">
        <v>151</v>
      </c>
      <c r="J11" t="s">
        <v>151</v>
      </c>
      <c r="K11" t="s">
        <v>151</v>
      </c>
      <c r="L11" t="s">
        <v>151</v>
      </c>
      <c r="M11" t="s">
        <v>151</v>
      </c>
      <c r="N11" t="s">
        <v>151</v>
      </c>
      <c r="O11" t="s">
        <v>151</v>
      </c>
      <c r="P11" t="s">
        <v>151</v>
      </c>
      <c r="Q11" t="s">
        <v>151</v>
      </c>
      <c r="S11" t="str">
        <f t="shared" si="0"/>
        <v>ASIANPAINT</v>
      </c>
      <c r="T11" t="str">
        <f t="shared" si="1"/>
        <v>ASIANPAINT</v>
      </c>
    </row>
    <row r="12" spans="1:20">
      <c r="A12" t="s">
        <v>162</v>
      </c>
      <c r="B12" t="s">
        <v>98</v>
      </c>
      <c r="C12" t="s">
        <v>98</v>
      </c>
      <c r="D12">
        <v>1200</v>
      </c>
      <c r="E12">
        <v>1200</v>
      </c>
      <c r="F12">
        <v>1200</v>
      </c>
      <c r="G12" t="s">
        <v>151</v>
      </c>
      <c r="I12" t="s">
        <v>151</v>
      </c>
      <c r="J12" t="s">
        <v>151</v>
      </c>
      <c r="K12" t="s">
        <v>151</v>
      </c>
      <c r="L12" t="s">
        <v>151</v>
      </c>
      <c r="M12" t="s">
        <v>151</v>
      </c>
      <c r="N12" t="s">
        <v>151</v>
      </c>
      <c r="O12" t="s">
        <v>151</v>
      </c>
      <c r="P12" t="s">
        <v>151</v>
      </c>
      <c r="Q12" t="s">
        <v>151</v>
      </c>
      <c r="S12" t="str">
        <f t="shared" si="0"/>
        <v>AXISBANK</v>
      </c>
      <c r="T12" t="str">
        <f t="shared" si="1"/>
        <v>AXISBANK</v>
      </c>
    </row>
    <row r="13" spans="1:20">
      <c r="A13" t="s">
        <v>163</v>
      </c>
      <c r="B13" t="s">
        <v>362</v>
      </c>
      <c r="C13" t="s">
        <v>362</v>
      </c>
      <c r="D13">
        <v>2600</v>
      </c>
      <c r="E13">
        <v>2600</v>
      </c>
      <c r="F13">
        <v>2600</v>
      </c>
      <c r="G13" t="s">
        <v>151</v>
      </c>
      <c r="I13" t="s">
        <v>151</v>
      </c>
      <c r="J13" t="s">
        <v>151</v>
      </c>
      <c r="K13" t="s">
        <v>151</v>
      </c>
      <c r="L13" t="s">
        <v>151</v>
      </c>
      <c r="M13" t="s">
        <v>151</v>
      </c>
      <c r="N13" t="s">
        <v>151</v>
      </c>
      <c r="O13" t="s">
        <v>151</v>
      </c>
      <c r="P13" t="s">
        <v>151</v>
      </c>
      <c r="Q13" t="s">
        <v>151</v>
      </c>
      <c r="S13" t="str">
        <f t="shared" si="0"/>
        <v>ABFRL</v>
      </c>
      <c r="T13" t="str">
        <f t="shared" si="1"/>
        <v>ABFRL</v>
      </c>
    </row>
    <row r="14" spans="1:20">
      <c r="A14" t="s">
        <v>164</v>
      </c>
      <c r="B14" t="s">
        <v>363</v>
      </c>
      <c r="C14" t="s">
        <v>363</v>
      </c>
      <c r="D14">
        <v>3000</v>
      </c>
      <c r="E14">
        <v>3000</v>
      </c>
      <c r="F14">
        <v>3000</v>
      </c>
      <c r="G14" t="s">
        <v>151</v>
      </c>
      <c r="I14" t="s">
        <v>151</v>
      </c>
      <c r="J14" t="s">
        <v>151</v>
      </c>
      <c r="K14" t="s">
        <v>151</v>
      </c>
      <c r="L14" t="s">
        <v>151</v>
      </c>
      <c r="M14" t="s">
        <v>151</v>
      </c>
      <c r="N14" t="s">
        <v>151</v>
      </c>
      <c r="O14" t="s">
        <v>151</v>
      </c>
      <c r="P14" t="s">
        <v>151</v>
      </c>
      <c r="Q14" t="s">
        <v>151</v>
      </c>
      <c r="S14" t="str">
        <f t="shared" si="0"/>
        <v>AMBUJACEM</v>
      </c>
      <c r="T14" t="str">
        <f t="shared" si="1"/>
        <v>AMBUJACEM</v>
      </c>
    </row>
    <row r="15" spans="1:20">
      <c r="A15" t="s">
        <v>165</v>
      </c>
      <c r="B15" t="s">
        <v>166</v>
      </c>
      <c r="C15" t="s">
        <v>166</v>
      </c>
      <c r="D15">
        <v>250</v>
      </c>
      <c r="E15">
        <v>250</v>
      </c>
      <c r="F15">
        <v>250</v>
      </c>
      <c r="G15" t="s">
        <v>151</v>
      </c>
      <c r="I15" t="s">
        <v>151</v>
      </c>
      <c r="J15" t="s">
        <v>151</v>
      </c>
      <c r="K15" t="s">
        <v>151</v>
      </c>
      <c r="L15" t="s">
        <v>151</v>
      </c>
      <c r="M15" t="s">
        <v>151</v>
      </c>
      <c r="N15" t="s">
        <v>151</v>
      </c>
      <c r="O15" t="s">
        <v>151</v>
      </c>
      <c r="P15" t="s">
        <v>151</v>
      </c>
      <c r="Q15" t="s">
        <v>151</v>
      </c>
      <c r="S15" t="str">
        <f t="shared" si="0"/>
        <v>APOLLOHOSP</v>
      </c>
      <c r="T15" t="str">
        <f t="shared" si="1"/>
        <v>APOLLOHOSP</v>
      </c>
    </row>
    <row r="16" spans="1:20">
      <c r="A16" t="s">
        <v>167</v>
      </c>
      <c r="B16" t="s">
        <v>168</v>
      </c>
      <c r="C16" t="s">
        <v>168</v>
      </c>
      <c r="D16">
        <v>1800</v>
      </c>
      <c r="E16">
        <v>1800</v>
      </c>
      <c r="F16">
        <v>1800</v>
      </c>
      <c r="G16" t="s">
        <v>151</v>
      </c>
      <c r="I16" t="s">
        <v>151</v>
      </c>
      <c r="J16" t="s">
        <v>151</v>
      </c>
      <c r="K16" t="s">
        <v>151</v>
      </c>
      <c r="L16" t="s">
        <v>151</v>
      </c>
      <c r="M16" t="s">
        <v>151</v>
      </c>
      <c r="N16" t="s">
        <v>151</v>
      </c>
      <c r="O16" t="s">
        <v>151</v>
      </c>
      <c r="P16" t="s">
        <v>151</v>
      </c>
      <c r="Q16" t="s">
        <v>151</v>
      </c>
      <c r="S16" t="str">
        <f t="shared" si="0"/>
        <v>BANDHANBNK</v>
      </c>
      <c r="T16" t="str">
        <f t="shared" si="1"/>
        <v>BANDHANBNK</v>
      </c>
    </row>
    <row r="17" spans="1:20">
      <c r="A17" t="s">
        <v>169</v>
      </c>
      <c r="B17" t="s">
        <v>364</v>
      </c>
      <c r="C17" t="s">
        <v>364</v>
      </c>
      <c r="D17">
        <v>1000</v>
      </c>
      <c r="E17">
        <v>1000</v>
      </c>
      <c r="F17">
        <v>1000</v>
      </c>
      <c r="G17" t="s">
        <v>151</v>
      </c>
      <c r="I17" t="s">
        <v>151</v>
      </c>
      <c r="J17" t="s">
        <v>151</v>
      </c>
      <c r="K17" t="s">
        <v>151</v>
      </c>
      <c r="L17" t="s">
        <v>151</v>
      </c>
      <c r="M17" t="s">
        <v>151</v>
      </c>
      <c r="N17" t="s">
        <v>151</v>
      </c>
      <c r="O17" t="s">
        <v>151</v>
      </c>
      <c r="P17" t="s">
        <v>151</v>
      </c>
      <c r="Q17" t="s">
        <v>151</v>
      </c>
      <c r="S17" t="str">
        <f t="shared" si="0"/>
        <v>ADANIENT</v>
      </c>
      <c r="T17" t="str">
        <f t="shared" si="1"/>
        <v>ADANIENT</v>
      </c>
    </row>
    <row r="18" spans="1:20">
      <c r="A18" t="s">
        <v>170</v>
      </c>
      <c r="B18" t="s">
        <v>365</v>
      </c>
      <c r="C18" t="s">
        <v>365</v>
      </c>
      <c r="D18">
        <v>10500</v>
      </c>
      <c r="E18">
        <v>10500</v>
      </c>
      <c r="F18">
        <v>10500</v>
      </c>
      <c r="G18" t="s">
        <v>151</v>
      </c>
      <c r="I18" t="s">
        <v>151</v>
      </c>
      <c r="J18" t="s">
        <v>151</v>
      </c>
      <c r="K18" t="s">
        <v>151</v>
      </c>
      <c r="L18" t="s">
        <v>151</v>
      </c>
      <c r="M18" t="s">
        <v>151</v>
      </c>
      <c r="N18" t="s">
        <v>151</v>
      </c>
      <c r="O18" t="s">
        <v>151</v>
      </c>
      <c r="P18" t="s">
        <v>151</v>
      </c>
      <c r="Q18" t="s">
        <v>151</v>
      </c>
      <c r="S18" t="str">
        <f t="shared" si="0"/>
        <v>BHEL</v>
      </c>
      <c r="T18" t="str">
        <f t="shared" si="1"/>
        <v>BHEL</v>
      </c>
    </row>
    <row r="19" spans="1:20">
      <c r="A19" t="s">
        <v>171</v>
      </c>
      <c r="B19" t="s">
        <v>172</v>
      </c>
      <c r="C19" t="s">
        <v>172</v>
      </c>
      <c r="D19">
        <v>1000</v>
      </c>
      <c r="E19">
        <v>1000</v>
      </c>
      <c r="F19">
        <v>1000</v>
      </c>
      <c r="G19" t="s">
        <v>151</v>
      </c>
      <c r="I19" t="s">
        <v>151</v>
      </c>
      <c r="J19" t="s">
        <v>151</v>
      </c>
      <c r="K19" t="s">
        <v>151</v>
      </c>
      <c r="L19" t="s">
        <v>151</v>
      </c>
      <c r="M19" t="s">
        <v>151</v>
      </c>
      <c r="N19" t="s">
        <v>151</v>
      </c>
      <c r="O19" t="s">
        <v>151</v>
      </c>
      <c r="P19" t="s">
        <v>151</v>
      </c>
      <c r="Q19" t="s">
        <v>151</v>
      </c>
      <c r="S19" t="str">
        <f t="shared" si="0"/>
        <v>AMARAJABAT</v>
      </c>
      <c r="T19" t="str">
        <f t="shared" si="1"/>
        <v>AMARAJABAT</v>
      </c>
    </row>
    <row r="20" spans="1:20">
      <c r="A20" t="s">
        <v>173</v>
      </c>
      <c r="B20" t="s">
        <v>366</v>
      </c>
      <c r="C20" t="s">
        <v>366</v>
      </c>
      <c r="D20">
        <v>1250</v>
      </c>
      <c r="E20">
        <v>1250</v>
      </c>
      <c r="F20">
        <v>1250</v>
      </c>
      <c r="G20" t="s">
        <v>151</v>
      </c>
      <c r="I20" t="s">
        <v>151</v>
      </c>
      <c r="J20" t="s">
        <v>151</v>
      </c>
      <c r="K20" t="s">
        <v>151</v>
      </c>
      <c r="L20" t="s">
        <v>151</v>
      </c>
      <c r="M20" t="s">
        <v>151</v>
      </c>
      <c r="N20" t="s">
        <v>151</v>
      </c>
      <c r="O20" t="s">
        <v>151</v>
      </c>
      <c r="P20" t="s">
        <v>151</v>
      </c>
      <c r="Q20" t="s">
        <v>151</v>
      </c>
      <c r="S20" t="str">
        <f t="shared" si="0"/>
        <v>DABUR</v>
      </c>
      <c r="T20" t="str">
        <f t="shared" si="1"/>
        <v>DABUR</v>
      </c>
    </row>
    <row r="21" spans="1:20">
      <c r="A21" t="s">
        <v>174</v>
      </c>
      <c r="B21" t="s">
        <v>367</v>
      </c>
      <c r="C21" t="s">
        <v>367</v>
      </c>
      <c r="D21">
        <v>500</v>
      </c>
      <c r="E21">
        <v>500</v>
      </c>
      <c r="F21">
        <v>500</v>
      </c>
      <c r="G21" t="s">
        <v>151</v>
      </c>
      <c r="I21" t="s">
        <v>151</v>
      </c>
      <c r="J21" t="s">
        <v>151</v>
      </c>
      <c r="K21" t="s">
        <v>151</v>
      </c>
      <c r="L21" t="s">
        <v>151</v>
      </c>
      <c r="M21" t="s">
        <v>151</v>
      </c>
      <c r="N21" t="s">
        <v>151</v>
      </c>
      <c r="O21" t="s">
        <v>151</v>
      </c>
      <c r="P21" t="s">
        <v>151</v>
      </c>
      <c r="Q21" t="s">
        <v>151</v>
      </c>
      <c r="S21" t="str">
        <f t="shared" si="0"/>
        <v>AUBANK</v>
      </c>
      <c r="T21" t="str">
        <f t="shared" si="1"/>
        <v>AUBANK</v>
      </c>
    </row>
    <row r="22" spans="1:20">
      <c r="A22" t="s">
        <v>175</v>
      </c>
      <c r="B22" t="s">
        <v>97</v>
      </c>
      <c r="C22" t="s">
        <v>97</v>
      </c>
      <c r="D22">
        <v>650</v>
      </c>
      <c r="E22">
        <v>650</v>
      </c>
      <c r="F22">
        <v>650</v>
      </c>
      <c r="G22" t="s">
        <v>151</v>
      </c>
      <c r="I22" t="s">
        <v>151</v>
      </c>
      <c r="J22" t="s">
        <v>151</v>
      </c>
      <c r="K22" t="s">
        <v>151</v>
      </c>
      <c r="L22" t="s">
        <v>151</v>
      </c>
      <c r="M22" t="s">
        <v>151</v>
      </c>
      <c r="N22" t="s">
        <v>151</v>
      </c>
      <c r="O22" t="s">
        <v>151</v>
      </c>
      <c r="P22" t="s">
        <v>151</v>
      </c>
      <c r="Q22" t="s">
        <v>151</v>
      </c>
      <c r="S22" t="str">
        <f t="shared" si="0"/>
        <v>AUROPHARMA</v>
      </c>
      <c r="T22" t="str">
        <f t="shared" si="1"/>
        <v>AUROPHARMA</v>
      </c>
    </row>
    <row r="23" spans="1:20">
      <c r="A23" t="s">
        <v>176</v>
      </c>
      <c r="B23" t="s">
        <v>368</v>
      </c>
      <c r="C23" t="s">
        <v>368</v>
      </c>
      <c r="D23">
        <v>500</v>
      </c>
      <c r="E23">
        <v>500</v>
      </c>
      <c r="F23">
        <v>500</v>
      </c>
      <c r="G23" t="s">
        <v>151</v>
      </c>
      <c r="I23" t="s">
        <v>151</v>
      </c>
      <c r="J23" t="s">
        <v>151</v>
      </c>
      <c r="K23" t="s">
        <v>151</v>
      </c>
      <c r="L23" t="s">
        <v>151</v>
      </c>
      <c r="M23" t="s">
        <v>151</v>
      </c>
      <c r="N23" t="s">
        <v>151</v>
      </c>
      <c r="O23" t="s">
        <v>151</v>
      </c>
      <c r="P23" t="s">
        <v>151</v>
      </c>
      <c r="Q23" t="s">
        <v>151</v>
      </c>
      <c r="S23" t="str">
        <f t="shared" si="0"/>
        <v>DEEPAKNTR</v>
      </c>
      <c r="T23" t="str">
        <f t="shared" si="1"/>
        <v>DEEPAKNTR</v>
      </c>
    </row>
    <row r="24" spans="1:20">
      <c r="A24" t="s">
        <v>177</v>
      </c>
      <c r="B24" t="s">
        <v>178</v>
      </c>
      <c r="C24" t="s">
        <v>178</v>
      </c>
      <c r="D24">
        <v>250</v>
      </c>
      <c r="E24">
        <v>250</v>
      </c>
      <c r="F24">
        <v>250</v>
      </c>
      <c r="G24" t="s">
        <v>151</v>
      </c>
      <c r="I24" t="s">
        <v>151</v>
      </c>
      <c r="J24" t="s">
        <v>151</v>
      </c>
      <c r="K24" t="s">
        <v>151</v>
      </c>
      <c r="L24" t="s">
        <v>151</v>
      </c>
      <c r="M24" t="s">
        <v>151</v>
      </c>
      <c r="N24" t="s">
        <v>151</v>
      </c>
      <c r="O24" t="s">
        <v>151</v>
      </c>
      <c r="P24" t="s">
        <v>151</v>
      </c>
      <c r="Q24" t="s">
        <v>151</v>
      </c>
      <c r="S24" t="str">
        <f t="shared" si="0"/>
        <v>BAJAJ-AUTO</v>
      </c>
      <c r="T24" t="str">
        <f t="shared" si="1"/>
        <v>BAJAJ-AUTO</v>
      </c>
    </row>
    <row r="25" spans="1:20">
      <c r="A25" t="s">
        <v>179</v>
      </c>
      <c r="B25" t="s">
        <v>99</v>
      </c>
      <c r="C25" t="s">
        <v>99</v>
      </c>
      <c r="D25">
        <v>75</v>
      </c>
      <c r="E25">
        <v>75</v>
      </c>
      <c r="F25">
        <v>75</v>
      </c>
      <c r="G25" t="s">
        <v>151</v>
      </c>
      <c r="I25" t="s">
        <v>151</v>
      </c>
      <c r="J25" t="s">
        <v>151</v>
      </c>
      <c r="K25" t="s">
        <v>151</v>
      </c>
      <c r="L25" t="s">
        <v>151</v>
      </c>
      <c r="M25" t="s">
        <v>151</v>
      </c>
      <c r="N25" t="s">
        <v>151</v>
      </c>
      <c r="O25" t="s">
        <v>151</v>
      </c>
      <c r="P25" t="s">
        <v>151</v>
      </c>
      <c r="Q25" t="s">
        <v>151</v>
      </c>
      <c r="S25" t="str">
        <f t="shared" si="0"/>
        <v>BAJAJFINSV</v>
      </c>
      <c r="T25" t="str">
        <f t="shared" si="1"/>
        <v>BAJAJFINSV</v>
      </c>
    </row>
    <row r="26" spans="1:20">
      <c r="A26" t="s">
        <v>180</v>
      </c>
      <c r="B26" t="s">
        <v>111</v>
      </c>
      <c r="C26" t="s">
        <v>111</v>
      </c>
      <c r="D26">
        <v>125</v>
      </c>
      <c r="E26">
        <v>125</v>
      </c>
      <c r="F26">
        <v>125</v>
      </c>
      <c r="G26" t="s">
        <v>151</v>
      </c>
      <c r="I26" t="s">
        <v>151</v>
      </c>
      <c r="J26" t="s">
        <v>151</v>
      </c>
      <c r="K26" t="s">
        <v>151</v>
      </c>
      <c r="L26" t="s">
        <v>151</v>
      </c>
      <c r="M26" t="s">
        <v>151</v>
      </c>
      <c r="N26" t="s">
        <v>151</v>
      </c>
      <c r="O26" t="s">
        <v>151</v>
      </c>
      <c r="P26" t="s">
        <v>151</v>
      </c>
      <c r="Q26" t="s">
        <v>151</v>
      </c>
      <c r="S26" t="str">
        <f t="shared" si="0"/>
        <v>BAJFINANCE</v>
      </c>
      <c r="T26" t="str">
        <f t="shared" si="1"/>
        <v>BAJFINANCE</v>
      </c>
    </row>
    <row r="27" spans="1:20">
      <c r="A27" t="s">
        <v>181</v>
      </c>
      <c r="B27" t="s">
        <v>182</v>
      </c>
      <c r="C27" t="s">
        <v>182</v>
      </c>
      <c r="D27">
        <v>11700</v>
      </c>
      <c r="E27">
        <v>11700</v>
      </c>
      <c r="F27">
        <v>11700</v>
      </c>
      <c r="G27" t="s">
        <v>151</v>
      </c>
      <c r="I27" t="s">
        <v>151</v>
      </c>
      <c r="J27" t="s">
        <v>151</v>
      </c>
      <c r="K27" t="s">
        <v>151</v>
      </c>
      <c r="L27" t="s">
        <v>151</v>
      </c>
      <c r="M27" t="s">
        <v>151</v>
      </c>
      <c r="N27" t="s">
        <v>151</v>
      </c>
      <c r="O27" t="s">
        <v>151</v>
      </c>
      <c r="P27" t="s">
        <v>151</v>
      </c>
      <c r="Q27" t="s">
        <v>151</v>
      </c>
      <c r="S27" t="str">
        <f t="shared" si="0"/>
        <v>BANKBARODA</v>
      </c>
      <c r="T27" t="str">
        <f t="shared" si="1"/>
        <v>BANKBARODA</v>
      </c>
    </row>
    <row r="28" spans="1:20">
      <c r="A28" t="s">
        <v>183</v>
      </c>
      <c r="B28" t="s">
        <v>369</v>
      </c>
      <c r="C28" t="s">
        <v>369</v>
      </c>
      <c r="D28">
        <v>550</v>
      </c>
      <c r="E28">
        <v>550</v>
      </c>
      <c r="F28">
        <v>550</v>
      </c>
      <c r="G28" t="s">
        <v>151</v>
      </c>
      <c r="I28" t="s">
        <v>151</v>
      </c>
      <c r="J28" t="s">
        <v>151</v>
      </c>
      <c r="K28" t="s">
        <v>151</v>
      </c>
      <c r="L28" t="s">
        <v>151</v>
      </c>
      <c r="M28" t="s">
        <v>151</v>
      </c>
      <c r="N28" t="s">
        <v>151</v>
      </c>
      <c r="O28" t="s">
        <v>151</v>
      </c>
      <c r="P28" t="s">
        <v>151</v>
      </c>
      <c r="Q28" t="s">
        <v>151</v>
      </c>
      <c r="S28" t="str">
        <f t="shared" si="0"/>
        <v>BATAINDIA</v>
      </c>
      <c r="T28" t="str">
        <f t="shared" si="1"/>
        <v>BATAINDIA</v>
      </c>
    </row>
    <row r="29" spans="1:20">
      <c r="A29" t="s">
        <v>184</v>
      </c>
      <c r="B29" t="s">
        <v>185</v>
      </c>
      <c r="C29" t="s">
        <v>185</v>
      </c>
      <c r="D29">
        <v>650</v>
      </c>
      <c r="E29">
        <v>650</v>
      </c>
      <c r="F29">
        <v>650</v>
      </c>
      <c r="G29" t="s">
        <v>151</v>
      </c>
      <c r="I29" t="s">
        <v>151</v>
      </c>
      <c r="J29" t="s">
        <v>151</v>
      </c>
      <c r="K29" t="s">
        <v>151</v>
      </c>
      <c r="L29" t="s">
        <v>151</v>
      </c>
      <c r="M29" t="s">
        <v>151</v>
      </c>
      <c r="N29" t="s">
        <v>151</v>
      </c>
      <c r="O29" t="s">
        <v>151</v>
      </c>
      <c r="P29" t="s">
        <v>151</v>
      </c>
      <c r="Q29" t="s">
        <v>151</v>
      </c>
      <c r="S29" t="str">
        <f t="shared" si="0"/>
        <v>GODREJPROP</v>
      </c>
      <c r="T29" t="str">
        <f t="shared" si="1"/>
        <v>GODREJPROP</v>
      </c>
    </row>
    <row r="30" spans="1:20">
      <c r="A30" t="s">
        <v>186</v>
      </c>
      <c r="B30" t="s">
        <v>100</v>
      </c>
      <c r="C30" t="s">
        <v>100</v>
      </c>
      <c r="D30">
        <v>3800</v>
      </c>
      <c r="E30">
        <v>3800</v>
      </c>
      <c r="F30">
        <v>3800</v>
      </c>
      <c r="G30" t="s">
        <v>151</v>
      </c>
      <c r="I30" t="s">
        <v>151</v>
      </c>
      <c r="J30" t="s">
        <v>151</v>
      </c>
      <c r="K30" t="s">
        <v>151</v>
      </c>
      <c r="L30" t="s">
        <v>151</v>
      </c>
      <c r="M30" t="s">
        <v>151</v>
      </c>
      <c r="N30" t="s">
        <v>151</v>
      </c>
      <c r="O30" t="s">
        <v>151</v>
      </c>
      <c r="P30" t="s">
        <v>151</v>
      </c>
      <c r="Q30" t="s">
        <v>151</v>
      </c>
      <c r="S30" t="str">
        <f t="shared" si="0"/>
        <v>BEL</v>
      </c>
      <c r="T30" t="str">
        <f t="shared" si="1"/>
        <v>BEL</v>
      </c>
    </row>
    <row r="31" spans="1:20">
      <c r="A31" t="s">
        <v>187</v>
      </c>
      <c r="B31" t="s">
        <v>188</v>
      </c>
      <c r="C31" t="s">
        <v>188</v>
      </c>
      <c r="D31">
        <v>1851</v>
      </c>
      <c r="E31">
        <v>1851</v>
      </c>
      <c r="F31">
        <v>1851</v>
      </c>
      <c r="G31" t="s">
        <v>151</v>
      </c>
      <c r="I31" t="s">
        <v>151</v>
      </c>
      <c r="J31" t="s">
        <v>151</v>
      </c>
      <c r="K31" t="s">
        <v>151</v>
      </c>
      <c r="L31" t="s">
        <v>151</v>
      </c>
      <c r="M31" t="s">
        <v>151</v>
      </c>
      <c r="N31" t="s">
        <v>151</v>
      </c>
      <c r="O31" t="s">
        <v>151</v>
      </c>
      <c r="P31" t="s">
        <v>151</v>
      </c>
      <c r="Q31" t="s">
        <v>151</v>
      </c>
      <c r="S31" t="str">
        <f t="shared" si="0"/>
        <v>BHARTIARTL</v>
      </c>
      <c r="T31" t="str">
        <f t="shared" si="1"/>
        <v>BHARTIARTL</v>
      </c>
    </row>
    <row r="32" spans="1:20">
      <c r="A32" t="s">
        <v>189</v>
      </c>
      <c r="B32" t="s">
        <v>370</v>
      </c>
      <c r="C32" t="s">
        <v>370</v>
      </c>
      <c r="D32">
        <v>1800</v>
      </c>
      <c r="E32">
        <v>1800</v>
      </c>
      <c r="F32">
        <v>1800</v>
      </c>
      <c r="G32" t="s">
        <v>151</v>
      </c>
      <c r="I32" t="s">
        <v>151</v>
      </c>
      <c r="J32" t="s">
        <v>151</v>
      </c>
      <c r="K32" t="s">
        <v>151</v>
      </c>
      <c r="L32" t="s">
        <v>151</v>
      </c>
      <c r="M32" t="s">
        <v>151</v>
      </c>
      <c r="N32" t="s">
        <v>151</v>
      </c>
      <c r="O32" t="s">
        <v>151</v>
      </c>
      <c r="P32" t="s">
        <v>151</v>
      </c>
      <c r="Q32" t="s">
        <v>151</v>
      </c>
      <c r="S32" t="str">
        <f t="shared" si="0"/>
        <v>BPCL</v>
      </c>
      <c r="T32" t="str">
        <f t="shared" si="1"/>
        <v>BPCL</v>
      </c>
    </row>
    <row r="33" spans="1:20">
      <c r="A33" t="s">
        <v>190</v>
      </c>
      <c r="B33" t="s">
        <v>371</v>
      </c>
      <c r="C33" t="s">
        <v>371</v>
      </c>
      <c r="D33">
        <v>2700</v>
      </c>
      <c r="E33">
        <v>2700</v>
      </c>
      <c r="F33">
        <v>2700</v>
      </c>
      <c r="G33" t="s">
        <v>151</v>
      </c>
      <c r="I33" t="s">
        <v>151</v>
      </c>
      <c r="J33" t="s">
        <v>151</v>
      </c>
      <c r="K33" t="s">
        <v>151</v>
      </c>
      <c r="L33" t="s">
        <v>151</v>
      </c>
      <c r="M33" t="s">
        <v>151</v>
      </c>
      <c r="N33" t="s">
        <v>151</v>
      </c>
      <c r="O33" t="s">
        <v>151</v>
      </c>
      <c r="P33" t="s">
        <v>151</v>
      </c>
      <c r="Q33" t="s">
        <v>151</v>
      </c>
      <c r="S33" t="str">
        <f t="shared" si="0"/>
        <v>HINDPETRO</v>
      </c>
      <c r="T33" t="str">
        <f t="shared" si="1"/>
        <v>HINDPETRO</v>
      </c>
    </row>
    <row r="34" spans="1:20">
      <c r="A34" t="s">
        <v>191</v>
      </c>
      <c r="B34" t="s">
        <v>372</v>
      </c>
      <c r="C34" t="s">
        <v>372</v>
      </c>
      <c r="D34">
        <v>500</v>
      </c>
      <c r="E34">
        <v>500</v>
      </c>
      <c r="F34">
        <v>500</v>
      </c>
      <c r="G34" t="s">
        <v>151</v>
      </c>
      <c r="I34" t="s">
        <v>151</v>
      </c>
      <c r="J34" t="s">
        <v>151</v>
      </c>
      <c r="K34" t="s">
        <v>151</v>
      </c>
      <c r="L34" t="s">
        <v>151</v>
      </c>
      <c r="M34" t="s">
        <v>151</v>
      </c>
      <c r="N34" t="s">
        <v>151</v>
      </c>
      <c r="O34" t="s">
        <v>151</v>
      </c>
      <c r="P34" t="s">
        <v>151</v>
      </c>
      <c r="Q34" t="s">
        <v>151</v>
      </c>
      <c r="S34" t="str">
        <f t="shared" si="0"/>
        <v>INDIGO</v>
      </c>
      <c r="T34" t="str">
        <f t="shared" si="1"/>
        <v>INDIGO</v>
      </c>
    </row>
    <row r="35" spans="1:20">
      <c r="A35" t="s">
        <v>192</v>
      </c>
      <c r="B35" t="s">
        <v>373</v>
      </c>
      <c r="C35" t="s">
        <v>373</v>
      </c>
      <c r="D35">
        <v>5400</v>
      </c>
      <c r="E35">
        <v>5400</v>
      </c>
      <c r="F35">
        <v>5400</v>
      </c>
      <c r="G35" t="s">
        <v>151</v>
      </c>
      <c r="I35" t="s">
        <v>151</v>
      </c>
      <c r="J35" t="s">
        <v>151</v>
      </c>
      <c r="K35" t="s">
        <v>151</v>
      </c>
      <c r="L35" t="s">
        <v>151</v>
      </c>
      <c r="M35" t="s">
        <v>151</v>
      </c>
      <c r="N35" t="s">
        <v>151</v>
      </c>
      <c r="O35" t="s">
        <v>151</v>
      </c>
      <c r="P35" t="s">
        <v>151</v>
      </c>
      <c r="Q35" t="s">
        <v>151</v>
      </c>
      <c r="S35" t="str">
        <f t="shared" si="0"/>
        <v>CANBK</v>
      </c>
      <c r="T35" t="str">
        <f t="shared" si="1"/>
        <v>CANBK</v>
      </c>
    </row>
    <row r="36" spans="1:20">
      <c r="A36" t="s">
        <v>193</v>
      </c>
      <c r="B36" t="s">
        <v>374</v>
      </c>
      <c r="C36" t="s">
        <v>374</v>
      </c>
      <c r="D36">
        <v>6500</v>
      </c>
      <c r="E36">
        <v>6500</v>
      </c>
      <c r="F36">
        <v>6500</v>
      </c>
      <c r="G36" t="s">
        <v>151</v>
      </c>
      <c r="I36" t="s">
        <v>151</v>
      </c>
      <c r="J36" t="s">
        <v>151</v>
      </c>
      <c r="K36" t="s">
        <v>151</v>
      </c>
      <c r="L36" t="s">
        <v>151</v>
      </c>
      <c r="M36" t="s">
        <v>151</v>
      </c>
      <c r="N36" t="s">
        <v>151</v>
      </c>
      <c r="O36" t="s">
        <v>151</v>
      </c>
      <c r="P36" t="s">
        <v>151</v>
      </c>
      <c r="Q36" t="s">
        <v>151</v>
      </c>
      <c r="S36" t="str">
        <f t="shared" si="0"/>
        <v>IOC</v>
      </c>
      <c r="T36" t="str">
        <f t="shared" si="1"/>
        <v>IOC</v>
      </c>
    </row>
    <row r="37" spans="1:20">
      <c r="A37" t="s">
        <v>194</v>
      </c>
      <c r="B37" t="s">
        <v>375</v>
      </c>
      <c r="C37" t="s">
        <v>375</v>
      </c>
      <c r="D37">
        <v>650</v>
      </c>
      <c r="E37">
        <v>650</v>
      </c>
      <c r="F37">
        <v>650</v>
      </c>
      <c r="G37" t="s">
        <v>151</v>
      </c>
      <c r="I37" t="s">
        <v>151</v>
      </c>
      <c r="J37" t="s">
        <v>151</v>
      </c>
      <c r="K37" t="s">
        <v>151</v>
      </c>
      <c r="L37" t="s">
        <v>151</v>
      </c>
      <c r="M37" t="s">
        <v>151</v>
      </c>
      <c r="N37" t="s">
        <v>151</v>
      </c>
      <c r="O37" t="s">
        <v>151</v>
      </c>
      <c r="P37" t="s">
        <v>151</v>
      </c>
      <c r="Q37" t="s">
        <v>151</v>
      </c>
      <c r="S37" t="str">
        <f t="shared" si="0"/>
        <v>CIPLA</v>
      </c>
      <c r="T37" t="str">
        <f t="shared" si="1"/>
        <v>CIPLA</v>
      </c>
    </row>
    <row r="38" spans="1:20">
      <c r="A38" t="s">
        <v>195</v>
      </c>
      <c r="B38" t="s">
        <v>101</v>
      </c>
      <c r="C38" t="s">
        <v>101</v>
      </c>
      <c r="D38">
        <v>4200</v>
      </c>
      <c r="E38">
        <v>4200</v>
      </c>
      <c r="F38">
        <v>4200</v>
      </c>
      <c r="G38" t="s">
        <v>151</v>
      </c>
      <c r="I38" t="s">
        <v>151</v>
      </c>
      <c r="J38" t="s">
        <v>151</v>
      </c>
      <c r="K38" t="s">
        <v>151</v>
      </c>
      <c r="L38" t="s">
        <v>151</v>
      </c>
      <c r="M38" t="s">
        <v>151</v>
      </c>
      <c r="N38" t="s">
        <v>151</v>
      </c>
      <c r="O38" t="s">
        <v>151</v>
      </c>
      <c r="P38" t="s">
        <v>151</v>
      </c>
      <c r="Q38" t="s">
        <v>151</v>
      </c>
      <c r="S38" t="str">
        <f t="shared" si="0"/>
        <v>COALINDIA</v>
      </c>
      <c r="T38" t="str">
        <f t="shared" si="1"/>
        <v>COALINDIA</v>
      </c>
    </row>
    <row r="39" spans="1:20">
      <c r="A39" t="s">
        <v>196</v>
      </c>
      <c r="B39" t="s">
        <v>376</v>
      </c>
      <c r="C39" t="s">
        <v>376</v>
      </c>
      <c r="D39">
        <v>350</v>
      </c>
      <c r="E39">
        <v>350</v>
      </c>
      <c r="F39">
        <v>350</v>
      </c>
      <c r="G39" t="s">
        <v>151</v>
      </c>
      <c r="I39" t="s">
        <v>151</v>
      </c>
      <c r="J39" t="s">
        <v>151</v>
      </c>
      <c r="K39" t="s">
        <v>151</v>
      </c>
      <c r="L39" t="s">
        <v>151</v>
      </c>
      <c r="M39" t="s">
        <v>151</v>
      </c>
      <c r="N39" t="s">
        <v>151</v>
      </c>
      <c r="O39" t="s">
        <v>151</v>
      </c>
      <c r="P39" t="s">
        <v>151</v>
      </c>
      <c r="Q39" t="s">
        <v>151</v>
      </c>
      <c r="S39" t="str">
        <f t="shared" si="0"/>
        <v>COLPAL</v>
      </c>
      <c r="T39" t="str">
        <f t="shared" si="1"/>
        <v>COLPAL</v>
      </c>
    </row>
    <row r="40" spans="1:20">
      <c r="A40" t="s">
        <v>197</v>
      </c>
      <c r="B40" t="s">
        <v>377</v>
      </c>
      <c r="C40" t="s">
        <v>377</v>
      </c>
      <c r="D40">
        <v>250</v>
      </c>
      <c r="E40">
        <v>250</v>
      </c>
      <c r="F40">
        <v>250</v>
      </c>
      <c r="G40" t="s">
        <v>151</v>
      </c>
      <c r="I40" t="s">
        <v>151</v>
      </c>
      <c r="J40" t="s">
        <v>151</v>
      </c>
      <c r="K40" t="s">
        <v>151</v>
      </c>
      <c r="L40" t="s">
        <v>151</v>
      </c>
      <c r="M40" t="s">
        <v>151</v>
      </c>
      <c r="N40" t="s">
        <v>151</v>
      </c>
      <c r="O40" t="s">
        <v>151</v>
      </c>
      <c r="P40" t="s">
        <v>151</v>
      </c>
      <c r="Q40" t="s">
        <v>151</v>
      </c>
      <c r="S40" t="str">
        <f t="shared" si="0"/>
        <v>JUBLFOOD</v>
      </c>
      <c r="T40" t="str">
        <f t="shared" si="1"/>
        <v>JUBLFOOD</v>
      </c>
    </row>
    <row r="41" spans="1:20">
      <c r="A41" t="s">
        <v>198</v>
      </c>
      <c r="B41" t="s">
        <v>199</v>
      </c>
      <c r="C41" t="s">
        <v>199</v>
      </c>
      <c r="D41">
        <v>625</v>
      </c>
      <c r="E41">
        <v>625</v>
      </c>
      <c r="F41">
        <v>625</v>
      </c>
      <c r="G41" t="s">
        <v>151</v>
      </c>
      <c r="I41" t="s">
        <v>151</v>
      </c>
      <c r="J41" t="s">
        <v>151</v>
      </c>
      <c r="K41" t="s">
        <v>151</v>
      </c>
      <c r="L41" t="s">
        <v>151</v>
      </c>
      <c r="M41" t="s">
        <v>151</v>
      </c>
      <c r="N41" t="s">
        <v>151</v>
      </c>
      <c r="O41" t="s">
        <v>151</v>
      </c>
      <c r="P41" t="s">
        <v>151</v>
      </c>
      <c r="Q41" t="s">
        <v>151</v>
      </c>
      <c r="S41" t="str">
        <f t="shared" si="0"/>
        <v>COROMANDEL</v>
      </c>
      <c r="T41" t="str">
        <f t="shared" si="1"/>
        <v>COROMANDEL</v>
      </c>
    </row>
    <row r="42" spans="1:20">
      <c r="A42" t="s">
        <v>200</v>
      </c>
      <c r="B42" t="s">
        <v>378</v>
      </c>
      <c r="C42" t="s">
        <v>378</v>
      </c>
      <c r="D42">
        <v>150</v>
      </c>
      <c r="E42">
        <v>150</v>
      </c>
      <c r="F42">
        <v>150</v>
      </c>
      <c r="G42" t="s">
        <v>151</v>
      </c>
      <c r="I42" t="s">
        <v>151</v>
      </c>
      <c r="J42" t="s">
        <v>151</v>
      </c>
      <c r="K42" t="s">
        <v>151</v>
      </c>
      <c r="L42" t="s">
        <v>151</v>
      </c>
      <c r="M42" t="s">
        <v>151</v>
      </c>
      <c r="N42" t="s">
        <v>151</v>
      </c>
      <c r="O42" t="s">
        <v>151</v>
      </c>
      <c r="P42" t="s">
        <v>151</v>
      </c>
      <c r="Q42" t="s">
        <v>151</v>
      </c>
      <c r="S42" t="str">
        <f t="shared" si="0"/>
        <v>LTI</v>
      </c>
      <c r="T42" t="str">
        <f t="shared" si="1"/>
        <v>LTI</v>
      </c>
    </row>
    <row r="43" spans="1:20">
      <c r="A43" t="s">
        <v>201</v>
      </c>
      <c r="B43" t="s">
        <v>379</v>
      </c>
      <c r="C43" t="s">
        <v>379</v>
      </c>
      <c r="D43">
        <v>3100</v>
      </c>
      <c r="E43">
        <v>3100</v>
      </c>
      <c r="F43">
        <v>3100</v>
      </c>
      <c r="G43" t="s">
        <v>151</v>
      </c>
      <c r="I43" t="s">
        <v>151</v>
      </c>
      <c r="J43" t="s">
        <v>151</v>
      </c>
      <c r="K43" t="s">
        <v>151</v>
      </c>
      <c r="L43" t="s">
        <v>151</v>
      </c>
      <c r="M43" t="s">
        <v>151</v>
      </c>
      <c r="N43" t="s">
        <v>151</v>
      </c>
      <c r="O43" t="s">
        <v>151</v>
      </c>
      <c r="P43" t="s">
        <v>151</v>
      </c>
      <c r="Q43" t="s">
        <v>151</v>
      </c>
      <c r="S43" t="str">
        <f t="shared" si="0"/>
        <v>CUB</v>
      </c>
      <c r="T43" t="str">
        <f t="shared" si="1"/>
        <v>CUB</v>
      </c>
    </row>
    <row r="44" spans="1:20">
      <c r="A44" t="s">
        <v>202</v>
      </c>
      <c r="B44" t="s">
        <v>380</v>
      </c>
      <c r="C44" t="s">
        <v>380</v>
      </c>
      <c r="D44">
        <v>2000</v>
      </c>
      <c r="E44">
        <v>2000</v>
      </c>
      <c r="F44">
        <v>2000</v>
      </c>
      <c r="G44" t="s">
        <v>151</v>
      </c>
      <c r="I44" t="s">
        <v>151</v>
      </c>
      <c r="J44" t="s">
        <v>151</v>
      </c>
      <c r="K44" t="s">
        <v>151</v>
      </c>
      <c r="L44" t="s">
        <v>151</v>
      </c>
      <c r="M44" t="s">
        <v>151</v>
      </c>
      <c r="N44" t="s">
        <v>151</v>
      </c>
      <c r="O44" t="s">
        <v>151</v>
      </c>
      <c r="P44" t="s">
        <v>151</v>
      </c>
      <c r="Q44" t="s">
        <v>151</v>
      </c>
      <c r="S44" t="str">
        <f t="shared" si="0"/>
        <v>MARICO</v>
      </c>
      <c r="T44" t="str">
        <f t="shared" si="1"/>
        <v>MARICO</v>
      </c>
    </row>
    <row r="45" spans="1:20">
      <c r="A45" t="s">
        <v>203</v>
      </c>
      <c r="B45" t="s">
        <v>7</v>
      </c>
      <c r="C45" t="s">
        <v>7</v>
      </c>
      <c r="D45">
        <v>600</v>
      </c>
      <c r="E45">
        <v>600</v>
      </c>
      <c r="F45">
        <v>600</v>
      </c>
      <c r="G45" t="s">
        <v>151</v>
      </c>
      <c r="I45" t="s">
        <v>151</v>
      </c>
      <c r="J45" t="s">
        <v>151</v>
      </c>
      <c r="K45" t="s">
        <v>151</v>
      </c>
      <c r="L45" t="s">
        <v>151</v>
      </c>
      <c r="M45" t="s">
        <v>151</v>
      </c>
      <c r="N45" t="s">
        <v>151</v>
      </c>
      <c r="O45" t="s">
        <v>151</v>
      </c>
      <c r="P45" t="s">
        <v>151</v>
      </c>
      <c r="Q45" t="s">
        <v>151</v>
      </c>
      <c r="S45" t="str">
        <f t="shared" si="0"/>
        <v>CUMMINSIND</v>
      </c>
      <c r="T45" t="str">
        <f t="shared" si="1"/>
        <v>CUMMINSIND</v>
      </c>
    </row>
    <row r="46" spans="1:20">
      <c r="A46" t="s">
        <v>204</v>
      </c>
      <c r="B46" t="s">
        <v>381</v>
      </c>
      <c r="C46" t="s">
        <v>381</v>
      </c>
      <c r="D46">
        <v>400</v>
      </c>
      <c r="E46">
        <v>400</v>
      </c>
      <c r="F46">
        <v>400</v>
      </c>
      <c r="G46" t="s">
        <v>151</v>
      </c>
      <c r="I46" t="s">
        <v>151</v>
      </c>
      <c r="J46" t="s">
        <v>151</v>
      </c>
      <c r="K46" t="s">
        <v>151</v>
      </c>
      <c r="L46" t="s">
        <v>151</v>
      </c>
      <c r="M46" t="s">
        <v>151</v>
      </c>
      <c r="N46" t="s">
        <v>151</v>
      </c>
      <c r="O46" t="s">
        <v>151</v>
      </c>
      <c r="P46" t="s">
        <v>151</v>
      </c>
      <c r="Q46" t="s">
        <v>151</v>
      </c>
      <c r="S46" t="str">
        <f t="shared" si="0"/>
        <v>MINDTREE</v>
      </c>
      <c r="T46" t="str">
        <f t="shared" si="1"/>
        <v>MINDTREE</v>
      </c>
    </row>
    <row r="47" spans="1:20">
      <c r="A47" t="s">
        <v>205</v>
      </c>
      <c r="B47" t="s">
        <v>123</v>
      </c>
      <c r="C47" t="s">
        <v>123</v>
      </c>
      <c r="D47">
        <v>3300</v>
      </c>
      <c r="E47">
        <v>3300</v>
      </c>
      <c r="F47">
        <v>3300</v>
      </c>
      <c r="G47" t="s">
        <v>151</v>
      </c>
      <c r="I47" t="s">
        <v>151</v>
      </c>
      <c r="J47" t="s">
        <v>151</v>
      </c>
      <c r="K47" t="s">
        <v>151</v>
      </c>
      <c r="L47" t="s">
        <v>151</v>
      </c>
      <c r="M47" t="s">
        <v>151</v>
      </c>
      <c r="N47" t="s">
        <v>151</v>
      </c>
      <c r="O47" t="s">
        <v>151</v>
      </c>
      <c r="P47" t="s">
        <v>151</v>
      </c>
      <c r="Q47" t="s">
        <v>151</v>
      </c>
      <c r="S47" t="str">
        <f t="shared" si="0"/>
        <v>DLF</v>
      </c>
      <c r="T47" t="str">
        <f t="shared" si="1"/>
        <v>DLF</v>
      </c>
    </row>
    <row r="48" spans="1:20">
      <c r="A48" t="s">
        <v>206</v>
      </c>
      <c r="B48" t="s">
        <v>207</v>
      </c>
      <c r="C48" t="s">
        <v>207</v>
      </c>
      <c r="D48">
        <v>17000</v>
      </c>
      <c r="E48">
        <v>17000</v>
      </c>
      <c r="F48">
        <v>17000</v>
      </c>
      <c r="G48" t="s">
        <v>151</v>
      </c>
      <c r="I48" t="s">
        <v>151</v>
      </c>
      <c r="J48" t="s">
        <v>151</v>
      </c>
      <c r="K48" t="s">
        <v>151</v>
      </c>
      <c r="L48" t="s">
        <v>151</v>
      </c>
      <c r="M48" t="s">
        <v>151</v>
      </c>
      <c r="N48" t="s">
        <v>151</v>
      </c>
      <c r="O48" t="s">
        <v>151</v>
      </c>
      <c r="P48" t="s">
        <v>151</v>
      </c>
      <c r="Q48" t="s">
        <v>151</v>
      </c>
      <c r="S48" t="str">
        <f t="shared" si="0"/>
        <v>NATIONALUM</v>
      </c>
      <c r="T48" t="str">
        <f t="shared" si="1"/>
        <v>NATIONALUM</v>
      </c>
    </row>
    <row r="49" spans="1:20">
      <c r="A49" t="s">
        <v>208</v>
      </c>
      <c r="B49" t="s">
        <v>382</v>
      </c>
      <c r="C49" t="s">
        <v>382</v>
      </c>
      <c r="D49">
        <v>550</v>
      </c>
      <c r="E49">
        <v>550</v>
      </c>
      <c r="F49">
        <v>550</v>
      </c>
      <c r="G49" t="s">
        <v>151</v>
      </c>
      <c r="I49" t="s">
        <v>151</v>
      </c>
      <c r="J49" t="s">
        <v>151</v>
      </c>
      <c r="K49" t="s">
        <v>151</v>
      </c>
      <c r="L49" t="s">
        <v>151</v>
      </c>
      <c r="M49" t="s">
        <v>151</v>
      </c>
      <c r="N49" t="s">
        <v>151</v>
      </c>
      <c r="O49" t="s">
        <v>151</v>
      </c>
      <c r="P49" t="s">
        <v>151</v>
      </c>
      <c r="Q49" t="s">
        <v>151</v>
      </c>
      <c r="S49" t="str">
        <f t="shared" si="0"/>
        <v>ESCORTS</v>
      </c>
      <c r="T49" t="str">
        <f t="shared" si="1"/>
        <v>ESCORTS</v>
      </c>
    </row>
    <row r="50" spans="1:20">
      <c r="A50" t="s">
        <v>209</v>
      </c>
      <c r="B50" t="s">
        <v>210</v>
      </c>
      <c r="C50" t="s">
        <v>210</v>
      </c>
      <c r="D50">
        <v>10000</v>
      </c>
      <c r="E50">
        <v>10000</v>
      </c>
      <c r="F50">
        <v>10000</v>
      </c>
      <c r="G50" t="s">
        <v>151</v>
      </c>
      <c r="I50" t="s">
        <v>151</v>
      </c>
      <c r="J50" t="s">
        <v>151</v>
      </c>
      <c r="K50" t="s">
        <v>151</v>
      </c>
      <c r="L50" t="s">
        <v>151</v>
      </c>
      <c r="M50" t="s">
        <v>151</v>
      </c>
      <c r="N50" t="s">
        <v>151</v>
      </c>
      <c r="O50" t="s">
        <v>151</v>
      </c>
      <c r="P50" t="s">
        <v>151</v>
      </c>
      <c r="Q50" t="s">
        <v>151</v>
      </c>
      <c r="S50" t="str">
        <f t="shared" si="0"/>
        <v>FEDERALBNK</v>
      </c>
      <c r="T50" t="str">
        <f t="shared" si="1"/>
        <v>FEDERALBNK</v>
      </c>
    </row>
    <row r="51" spans="1:20">
      <c r="A51" t="s">
        <v>211</v>
      </c>
      <c r="B51" t="s">
        <v>383</v>
      </c>
      <c r="C51" t="s">
        <v>383</v>
      </c>
      <c r="D51">
        <v>1150</v>
      </c>
      <c r="E51">
        <v>1150</v>
      </c>
      <c r="F51">
        <v>1150</v>
      </c>
      <c r="G51" t="s">
        <v>151</v>
      </c>
      <c r="I51" t="s">
        <v>151</v>
      </c>
      <c r="J51" t="s">
        <v>151</v>
      </c>
      <c r="K51" t="s">
        <v>151</v>
      </c>
      <c r="L51" t="s">
        <v>151</v>
      </c>
      <c r="M51" t="s">
        <v>151</v>
      </c>
      <c r="N51" t="s">
        <v>151</v>
      </c>
      <c r="O51" t="s">
        <v>151</v>
      </c>
      <c r="P51" t="s">
        <v>151</v>
      </c>
      <c r="Q51" t="s">
        <v>151</v>
      </c>
      <c r="S51" t="str">
        <f t="shared" si="0"/>
        <v>GLENMARK</v>
      </c>
      <c r="T51" t="str">
        <f t="shared" si="1"/>
        <v>GLENMARK</v>
      </c>
    </row>
    <row r="52" spans="1:20">
      <c r="A52" t="s">
        <v>212</v>
      </c>
      <c r="B52" t="s">
        <v>384</v>
      </c>
      <c r="C52" t="s">
        <v>384</v>
      </c>
      <c r="D52">
        <v>5333</v>
      </c>
      <c r="E52">
        <v>5333</v>
      </c>
      <c r="F52">
        <v>5333</v>
      </c>
      <c r="G52" t="s">
        <v>151</v>
      </c>
      <c r="I52" t="s">
        <v>151</v>
      </c>
      <c r="J52" t="s">
        <v>151</v>
      </c>
      <c r="K52" t="s">
        <v>151</v>
      </c>
      <c r="L52" t="s">
        <v>151</v>
      </c>
      <c r="M52" t="s">
        <v>151</v>
      </c>
      <c r="N52" t="s">
        <v>151</v>
      </c>
      <c r="O52" t="s">
        <v>151</v>
      </c>
      <c r="P52" t="s">
        <v>151</v>
      </c>
      <c r="Q52" t="s">
        <v>151</v>
      </c>
      <c r="S52" t="str">
        <f t="shared" si="0"/>
        <v>POWERGRID</v>
      </c>
      <c r="T52" t="str">
        <f t="shared" si="1"/>
        <v>POWERGRID</v>
      </c>
    </row>
    <row r="53" spans="1:20">
      <c r="A53" t="s">
        <v>213</v>
      </c>
      <c r="B53" t="s">
        <v>385</v>
      </c>
      <c r="C53" t="s">
        <v>385</v>
      </c>
      <c r="D53">
        <v>1550</v>
      </c>
      <c r="E53">
        <v>1550</v>
      </c>
      <c r="F53">
        <v>1550</v>
      </c>
      <c r="G53" t="s">
        <v>151</v>
      </c>
      <c r="I53" t="s">
        <v>151</v>
      </c>
      <c r="J53" t="s">
        <v>151</v>
      </c>
      <c r="K53" t="s">
        <v>151</v>
      </c>
      <c r="L53" t="s">
        <v>151</v>
      </c>
      <c r="M53" t="s">
        <v>151</v>
      </c>
      <c r="N53" t="s">
        <v>151</v>
      </c>
      <c r="O53" t="s">
        <v>151</v>
      </c>
      <c r="P53" t="s">
        <v>151</v>
      </c>
      <c r="Q53" t="s">
        <v>151</v>
      </c>
      <c r="S53" t="str">
        <f t="shared" si="0"/>
        <v>GRANULES</v>
      </c>
      <c r="T53" t="str">
        <f t="shared" si="1"/>
        <v>GRANULES</v>
      </c>
    </row>
    <row r="54" spans="1:20">
      <c r="A54" t="s">
        <v>214</v>
      </c>
      <c r="B54" t="s">
        <v>386</v>
      </c>
      <c r="C54" t="s">
        <v>386</v>
      </c>
      <c r="D54">
        <v>1250</v>
      </c>
      <c r="E54">
        <v>1250</v>
      </c>
      <c r="F54">
        <v>1250</v>
      </c>
      <c r="G54" t="s">
        <v>151</v>
      </c>
      <c r="I54" t="s">
        <v>151</v>
      </c>
      <c r="J54" t="s">
        <v>151</v>
      </c>
      <c r="K54" t="s">
        <v>151</v>
      </c>
      <c r="L54" t="s">
        <v>151</v>
      </c>
      <c r="M54" t="s">
        <v>151</v>
      </c>
      <c r="N54" t="s">
        <v>151</v>
      </c>
      <c r="O54" t="s">
        <v>151</v>
      </c>
      <c r="P54" t="s">
        <v>151</v>
      </c>
      <c r="Q54" t="s">
        <v>151</v>
      </c>
      <c r="S54" t="str">
        <f t="shared" si="0"/>
        <v>GUJGASLTD</v>
      </c>
      <c r="T54" t="str">
        <f t="shared" si="1"/>
        <v>GUJGASLTD</v>
      </c>
    </row>
    <row r="55" spans="1:20">
      <c r="A55" t="s">
        <v>215</v>
      </c>
      <c r="B55" t="s">
        <v>387</v>
      </c>
      <c r="C55" t="s">
        <v>387</v>
      </c>
      <c r="D55">
        <v>700</v>
      </c>
      <c r="E55">
        <v>700</v>
      </c>
      <c r="F55">
        <v>700</v>
      </c>
      <c r="G55" t="s">
        <v>151</v>
      </c>
      <c r="I55" t="s">
        <v>151</v>
      </c>
      <c r="J55" t="s">
        <v>151</v>
      </c>
      <c r="K55" t="s">
        <v>151</v>
      </c>
      <c r="L55" t="s">
        <v>151</v>
      </c>
      <c r="M55" t="s">
        <v>151</v>
      </c>
      <c r="N55" t="s">
        <v>151</v>
      </c>
      <c r="O55" t="s">
        <v>151</v>
      </c>
      <c r="P55" t="s">
        <v>151</v>
      </c>
      <c r="Q55" t="s">
        <v>151</v>
      </c>
      <c r="S55" t="str">
        <f t="shared" si="0"/>
        <v>HCLTECH</v>
      </c>
      <c r="T55" t="str">
        <f t="shared" si="1"/>
        <v>HCLTECH</v>
      </c>
    </row>
    <row r="56" spans="1:20">
      <c r="A56" t="s">
        <v>216</v>
      </c>
      <c r="B56" t="s">
        <v>388</v>
      </c>
      <c r="C56" t="s">
        <v>388</v>
      </c>
      <c r="D56">
        <v>200</v>
      </c>
      <c r="E56">
        <v>200</v>
      </c>
      <c r="F56">
        <v>200</v>
      </c>
      <c r="G56" t="s">
        <v>151</v>
      </c>
      <c r="I56" t="s">
        <v>151</v>
      </c>
      <c r="J56" t="s">
        <v>151</v>
      </c>
      <c r="K56" t="s">
        <v>151</v>
      </c>
      <c r="L56" t="s">
        <v>151</v>
      </c>
      <c r="M56" t="s">
        <v>151</v>
      </c>
      <c r="N56" t="s">
        <v>151</v>
      </c>
      <c r="O56" t="s">
        <v>151</v>
      </c>
      <c r="P56" t="s">
        <v>151</v>
      </c>
      <c r="Q56" t="s">
        <v>151</v>
      </c>
      <c r="S56" t="str">
        <f t="shared" si="0"/>
        <v>HDFCAMC</v>
      </c>
      <c r="T56" t="str">
        <f t="shared" si="1"/>
        <v>HDFCAMC</v>
      </c>
    </row>
    <row r="57" spans="1:20">
      <c r="A57" t="s">
        <v>217</v>
      </c>
      <c r="B57" t="s">
        <v>103</v>
      </c>
      <c r="C57" t="s">
        <v>103</v>
      </c>
      <c r="D57">
        <v>550</v>
      </c>
      <c r="E57">
        <v>550</v>
      </c>
      <c r="F57">
        <v>550</v>
      </c>
      <c r="G57" t="s">
        <v>151</v>
      </c>
      <c r="I57" t="s">
        <v>151</v>
      </c>
      <c r="J57" t="s">
        <v>151</v>
      </c>
      <c r="K57" t="s">
        <v>151</v>
      </c>
      <c r="L57" t="s">
        <v>151</v>
      </c>
      <c r="M57" t="s">
        <v>151</v>
      </c>
      <c r="N57" t="s">
        <v>151</v>
      </c>
      <c r="O57" t="s">
        <v>151</v>
      </c>
      <c r="P57" t="s">
        <v>151</v>
      </c>
      <c r="Q57" t="s">
        <v>151</v>
      </c>
      <c r="S57" t="str">
        <f t="shared" si="0"/>
        <v>HDFCBANK</v>
      </c>
      <c r="T57" t="str">
        <f t="shared" si="1"/>
        <v>HDFCBANK</v>
      </c>
    </row>
    <row r="58" spans="1:20">
      <c r="A58" t="s">
        <v>218</v>
      </c>
      <c r="B58" t="s">
        <v>389</v>
      </c>
      <c r="C58" t="s">
        <v>389</v>
      </c>
      <c r="D58">
        <v>1100</v>
      </c>
      <c r="E58">
        <v>1100</v>
      </c>
      <c r="F58">
        <v>1100</v>
      </c>
      <c r="G58" t="s">
        <v>151</v>
      </c>
      <c r="I58" t="s">
        <v>151</v>
      </c>
      <c r="J58" t="s">
        <v>151</v>
      </c>
      <c r="K58" t="s">
        <v>151</v>
      </c>
      <c r="L58" t="s">
        <v>151</v>
      </c>
      <c r="M58" t="s">
        <v>151</v>
      </c>
      <c r="N58" t="s">
        <v>151</v>
      </c>
      <c r="O58" t="s">
        <v>151</v>
      </c>
      <c r="P58" t="s">
        <v>151</v>
      </c>
      <c r="Q58" t="s">
        <v>151</v>
      </c>
      <c r="S58" t="str">
        <f t="shared" si="0"/>
        <v>HDFCLIFE</v>
      </c>
      <c r="T58" t="str">
        <f t="shared" si="1"/>
        <v>HDFCLIFE</v>
      </c>
    </row>
    <row r="59" spans="1:20">
      <c r="A59" t="s">
        <v>219</v>
      </c>
      <c r="B59" t="s">
        <v>220</v>
      </c>
      <c r="C59" t="s">
        <v>220</v>
      </c>
      <c r="D59">
        <v>300</v>
      </c>
      <c r="E59">
        <v>300</v>
      </c>
      <c r="F59">
        <v>300</v>
      </c>
      <c r="G59" t="s">
        <v>151</v>
      </c>
      <c r="I59" t="s">
        <v>151</v>
      </c>
      <c r="J59" t="s">
        <v>151</v>
      </c>
      <c r="K59" t="s">
        <v>151</v>
      </c>
      <c r="L59" t="s">
        <v>151</v>
      </c>
      <c r="M59" t="s">
        <v>151</v>
      </c>
      <c r="N59" t="s">
        <v>151</v>
      </c>
      <c r="O59" t="s">
        <v>151</v>
      </c>
      <c r="P59" t="s">
        <v>151</v>
      </c>
      <c r="Q59" t="s">
        <v>151</v>
      </c>
      <c r="S59" t="str">
        <f t="shared" si="0"/>
        <v>HEROMOTOCO</v>
      </c>
      <c r="T59" t="str">
        <f t="shared" si="1"/>
        <v>HEROMOTOCO</v>
      </c>
    </row>
    <row r="60" spans="1:20">
      <c r="A60" t="s">
        <v>221</v>
      </c>
      <c r="B60" t="s">
        <v>93</v>
      </c>
      <c r="C60" t="s">
        <v>93</v>
      </c>
      <c r="D60">
        <v>2150</v>
      </c>
      <c r="E60">
        <v>2150</v>
      </c>
      <c r="F60">
        <v>2150</v>
      </c>
      <c r="G60" t="s">
        <v>151</v>
      </c>
      <c r="I60" t="s">
        <v>151</v>
      </c>
      <c r="J60" t="s">
        <v>151</v>
      </c>
      <c r="K60" t="s">
        <v>151</v>
      </c>
      <c r="L60" t="s">
        <v>151</v>
      </c>
      <c r="M60" t="s">
        <v>151</v>
      </c>
      <c r="N60" t="s">
        <v>151</v>
      </c>
      <c r="O60" t="s">
        <v>151</v>
      </c>
      <c r="P60" t="s">
        <v>151</v>
      </c>
      <c r="Q60" t="s">
        <v>151</v>
      </c>
      <c r="S60" t="str">
        <f t="shared" si="0"/>
        <v>HINDALCO</v>
      </c>
      <c r="T60" t="str">
        <f t="shared" si="1"/>
        <v>HINDALCO</v>
      </c>
    </row>
    <row r="61" spans="1:20">
      <c r="A61" t="s">
        <v>222</v>
      </c>
      <c r="B61" t="s">
        <v>104</v>
      </c>
      <c r="C61" t="s">
        <v>104</v>
      </c>
      <c r="D61">
        <v>300</v>
      </c>
      <c r="E61">
        <v>300</v>
      </c>
      <c r="F61">
        <v>300</v>
      </c>
      <c r="G61" t="s">
        <v>151</v>
      </c>
      <c r="I61" t="s">
        <v>151</v>
      </c>
      <c r="J61" t="s">
        <v>151</v>
      </c>
      <c r="K61" t="s">
        <v>151</v>
      </c>
      <c r="L61" t="s">
        <v>151</v>
      </c>
      <c r="M61" t="s">
        <v>151</v>
      </c>
      <c r="N61" t="s">
        <v>151</v>
      </c>
      <c r="O61" t="s">
        <v>151</v>
      </c>
      <c r="P61" t="s">
        <v>151</v>
      </c>
      <c r="Q61" t="s">
        <v>151</v>
      </c>
      <c r="S61" t="str">
        <f t="shared" si="0"/>
        <v>HINDUNILVR</v>
      </c>
      <c r="T61" t="str">
        <f t="shared" si="1"/>
        <v>HINDUNILVR</v>
      </c>
    </row>
    <row r="62" spans="1:20">
      <c r="A62" t="s">
        <v>223</v>
      </c>
      <c r="B62" t="s">
        <v>125</v>
      </c>
      <c r="C62" t="s">
        <v>125</v>
      </c>
      <c r="D62">
        <v>3100</v>
      </c>
      <c r="E62">
        <v>3100</v>
      </c>
      <c r="F62">
        <v>3100</v>
      </c>
      <c r="G62" t="s">
        <v>151</v>
      </c>
      <c r="I62" t="s">
        <v>151</v>
      </c>
      <c r="J62" t="s">
        <v>151</v>
      </c>
      <c r="K62" t="s">
        <v>151</v>
      </c>
      <c r="L62" t="s">
        <v>151</v>
      </c>
      <c r="M62" t="s">
        <v>151</v>
      </c>
      <c r="N62" t="s">
        <v>151</v>
      </c>
      <c r="O62" t="s">
        <v>151</v>
      </c>
      <c r="P62" t="s">
        <v>151</v>
      </c>
      <c r="Q62" t="s">
        <v>151</v>
      </c>
      <c r="S62" t="str">
        <f t="shared" si="0"/>
        <v>IBULHSGFIN</v>
      </c>
      <c r="T62" t="str">
        <f t="shared" si="1"/>
        <v>IBULHSGFIN</v>
      </c>
    </row>
    <row r="63" spans="1:20">
      <c r="A63" t="s">
        <v>224</v>
      </c>
      <c r="B63" t="s">
        <v>390</v>
      </c>
      <c r="C63" t="s">
        <v>390</v>
      </c>
      <c r="D63">
        <v>125</v>
      </c>
      <c r="E63">
        <v>125</v>
      </c>
      <c r="F63">
        <v>125</v>
      </c>
      <c r="G63" t="s">
        <v>151</v>
      </c>
      <c r="I63" t="s">
        <v>151</v>
      </c>
      <c r="J63" t="s">
        <v>151</v>
      </c>
      <c r="K63" t="s">
        <v>151</v>
      </c>
      <c r="L63" t="s">
        <v>151</v>
      </c>
      <c r="M63" t="s">
        <v>151</v>
      </c>
      <c r="N63" t="s">
        <v>151</v>
      </c>
      <c r="O63" t="s">
        <v>151</v>
      </c>
      <c r="P63" t="s">
        <v>151</v>
      </c>
      <c r="Q63" t="s">
        <v>151</v>
      </c>
      <c r="S63" t="str">
        <f t="shared" si="0"/>
        <v>SRF</v>
      </c>
      <c r="T63" t="str">
        <f t="shared" si="1"/>
        <v>SRF</v>
      </c>
    </row>
    <row r="64" spans="1:20">
      <c r="A64" t="s">
        <v>225</v>
      </c>
      <c r="B64" t="s">
        <v>102</v>
      </c>
      <c r="C64" t="s">
        <v>102</v>
      </c>
      <c r="D64">
        <v>1375</v>
      </c>
      <c r="E64">
        <v>1375</v>
      </c>
      <c r="F64">
        <v>1375</v>
      </c>
      <c r="G64" t="s">
        <v>151</v>
      </c>
      <c r="I64" t="s">
        <v>151</v>
      </c>
      <c r="J64" t="s">
        <v>151</v>
      </c>
      <c r="K64" t="s">
        <v>151</v>
      </c>
      <c r="L64" t="s">
        <v>151</v>
      </c>
      <c r="M64" t="s">
        <v>151</v>
      </c>
      <c r="N64" t="s">
        <v>151</v>
      </c>
      <c r="O64" t="s">
        <v>151</v>
      </c>
      <c r="P64" t="s">
        <v>151</v>
      </c>
      <c r="Q64" t="s">
        <v>151</v>
      </c>
      <c r="S64" t="str">
        <f t="shared" si="0"/>
        <v>ICICIBANK</v>
      </c>
      <c r="T64" t="str">
        <f t="shared" si="1"/>
        <v>ICICIBANK</v>
      </c>
    </row>
    <row r="65" spans="1:20">
      <c r="A65" t="s">
        <v>226</v>
      </c>
      <c r="B65" t="s">
        <v>391</v>
      </c>
      <c r="C65" t="s">
        <v>391</v>
      </c>
      <c r="D65">
        <v>425</v>
      </c>
      <c r="E65">
        <v>425</v>
      </c>
      <c r="F65">
        <v>425</v>
      </c>
      <c r="G65" t="s">
        <v>151</v>
      </c>
      <c r="I65" t="s">
        <v>151</v>
      </c>
      <c r="J65" t="s">
        <v>151</v>
      </c>
      <c r="K65" t="s">
        <v>151</v>
      </c>
      <c r="L65" t="s">
        <v>151</v>
      </c>
      <c r="M65" t="s">
        <v>151</v>
      </c>
      <c r="N65" t="s">
        <v>151</v>
      </c>
      <c r="O65" t="s">
        <v>151</v>
      </c>
      <c r="P65" t="s">
        <v>151</v>
      </c>
      <c r="Q65" t="s">
        <v>151</v>
      </c>
      <c r="S65" t="str">
        <f t="shared" si="0"/>
        <v>ICICIGI</v>
      </c>
      <c r="T65" t="str">
        <f t="shared" si="1"/>
        <v>ICICIGI</v>
      </c>
    </row>
    <row r="66" spans="1:20">
      <c r="A66" t="s">
        <v>227</v>
      </c>
      <c r="B66" t="s">
        <v>228</v>
      </c>
      <c r="C66" t="s">
        <v>228</v>
      </c>
      <c r="D66">
        <v>1500</v>
      </c>
      <c r="E66">
        <v>1500</v>
      </c>
      <c r="F66">
        <v>1500</v>
      </c>
      <c r="G66" t="s">
        <v>151</v>
      </c>
      <c r="I66" t="s">
        <v>151</v>
      </c>
      <c r="J66" t="s">
        <v>151</v>
      </c>
      <c r="K66" t="s">
        <v>151</v>
      </c>
      <c r="L66" t="s">
        <v>151</v>
      </c>
      <c r="M66" t="s">
        <v>151</v>
      </c>
      <c r="N66" t="s">
        <v>151</v>
      </c>
      <c r="O66" t="s">
        <v>151</v>
      </c>
      <c r="P66" t="s">
        <v>151</v>
      </c>
      <c r="Q66" t="s">
        <v>151</v>
      </c>
      <c r="S66" t="str">
        <f t="shared" si="0"/>
        <v>ICICIPRULI</v>
      </c>
      <c r="T66" t="str">
        <f t="shared" si="1"/>
        <v>ICICIPRULI</v>
      </c>
    </row>
    <row r="67" spans="1:20">
      <c r="A67" t="s">
        <v>229</v>
      </c>
      <c r="B67" t="s">
        <v>392</v>
      </c>
      <c r="C67" t="s">
        <v>392</v>
      </c>
      <c r="D67">
        <v>70000</v>
      </c>
      <c r="E67">
        <v>70000</v>
      </c>
      <c r="F67">
        <v>70000</v>
      </c>
      <c r="G67" t="s">
        <v>151</v>
      </c>
      <c r="I67" t="s">
        <v>151</v>
      </c>
      <c r="J67" t="s">
        <v>151</v>
      </c>
      <c r="K67" t="s">
        <v>151</v>
      </c>
      <c r="L67" t="s">
        <v>151</v>
      </c>
      <c r="M67" t="s">
        <v>151</v>
      </c>
      <c r="N67" t="s">
        <v>151</v>
      </c>
      <c r="O67" t="s">
        <v>151</v>
      </c>
      <c r="P67" t="s">
        <v>151</v>
      </c>
      <c r="Q67" t="s">
        <v>151</v>
      </c>
      <c r="S67" t="str">
        <f t="shared" ref="S67:S130" si="2">TRIM(B67)</f>
        <v>IDEA</v>
      </c>
      <c r="T67" t="str">
        <f t="shared" ref="T67:T130" si="3">TRIM(C67)</f>
        <v>IDEA</v>
      </c>
    </row>
    <row r="68" spans="1:20">
      <c r="A68" t="s">
        <v>230</v>
      </c>
      <c r="B68" t="s">
        <v>393</v>
      </c>
      <c r="C68" t="s">
        <v>393</v>
      </c>
      <c r="D68">
        <v>1400</v>
      </c>
      <c r="E68">
        <v>1400</v>
      </c>
      <c r="F68">
        <v>1400</v>
      </c>
      <c r="G68" t="s">
        <v>151</v>
      </c>
      <c r="I68" t="s">
        <v>151</v>
      </c>
      <c r="J68" t="s">
        <v>151</v>
      </c>
      <c r="K68" t="s">
        <v>151</v>
      </c>
      <c r="L68" t="s">
        <v>151</v>
      </c>
      <c r="M68" t="s">
        <v>151</v>
      </c>
      <c r="N68" t="s">
        <v>151</v>
      </c>
      <c r="O68" t="s">
        <v>151</v>
      </c>
      <c r="P68" t="s">
        <v>151</v>
      </c>
      <c r="Q68" t="s">
        <v>151</v>
      </c>
      <c r="S68" t="str">
        <f t="shared" si="2"/>
        <v>SUNPHARMA</v>
      </c>
      <c r="T68" t="str">
        <f t="shared" si="3"/>
        <v>SUNPHARMA</v>
      </c>
    </row>
    <row r="69" spans="1:20">
      <c r="A69" t="s">
        <v>231</v>
      </c>
      <c r="B69" t="s">
        <v>232</v>
      </c>
      <c r="C69" t="s">
        <v>232</v>
      </c>
      <c r="D69">
        <v>9500</v>
      </c>
      <c r="E69">
        <v>9500</v>
      </c>
      <c r="F69">
        <v>9500</v>
      </c>
      <c r="G69" t="s">
        <v>151</v>
      </c>
      <c r="I69" t="s">
        <v>151</v>
      </c>
      <c r="J69" t="s">
        <v>151</v>
      </c>
      <c r="K69" t="s">
        <v>151</v>
      </c>
      <c r="L69" t="s">
        <v>151</v>
      </c>
      <c r="M69" t="s">
        <v>151</v>
      </c>
      <c r="N69" t="s">
        <v>151</v>
      </c>
      <c r="O69" t="s">
        <v>151</v>
      </c>
      <c r="P69" t="s">
        <v>151</v>
      </c>
      <c r="Q69" t="s">
        <v>151</v>
      </c>
      <c r="S69" t="str">
        <f t="shared" si="2"/>
        <v>IDFCFIRSTB</v>
      </c>
      <c r="T69" t="str">
        <f t="shared" si="3"/>
        <v>IDFCFIRSTB</v>
      </c>
    </row>
    <row r="70" spans="1:20">
      <c r="A70" t="s">
        <v>233</v>
      </c>
      <c r="B70" t="s">
        <v>394</v>
      </c>
      <c r="C70" t="s">
        <v>394</v>
      </c>
      <c r="D70">
        <v>3900</v>
      </c>
      <c r="E70">
        <v>3900</v>
      </c>
      <c r="F70">
        <v>3900</v>
      </c>
      <c r="G70" t="s">
        <v>151</v>
      </c>
      <c r="I70" t="s">
        <v>151</v>
      </c>
      <c r="J70" t="s">
        <v>151</v>
      </c>
      <c r="K70" t="s">
        <v>151</v>
      </c>
      <c r="L70" t="s">
        <v>151</v>
      </c>
      <c r="M70" t="s">
        <v>151</v>
      </c>
      <c r="N70" t="s">
        <v>151</v>
      </c>
      <c r="O70" t="s">
        <v>151</v>
      </c>
      <c r="P70" t="s">
        <v>151</v>
      </c>
      <c r="Q70" t="s">
        <v>151</v>
      </c>
      <c r="S70" t="str">
        <f t="shared" si="2"/>
        <v>INDHOTEL</v>
      </c>
      <c r="T70" t="str">
        <f t="shared" si="3"/>
        <v>INDHOTEL</v>
      </c>
    </row>
    <row r="71" spans="1:20">
      <c r="A71" t="s">
        <v>234</v>
      </c>
      <c r="B71" t="s">
        <v>105</v>
      </c>
      <c r="C71" t="s">
        <v>105</v>
      </c>
      <c r="D71">
        <v>900</v>
      </c>
      <c r="E71">
        <v>900</v>
      </c>
      <c r="F71">
        <v>900</v>
      </c>
      <c r="G71" t="s">
        <v>151</v>
      </c>
      <c r="I71" t="s">
        <v>151</v>
      </c>
      <c r="J71" t="s">
        <v>151</v>
      </c>
      <c r="K71" t="s">
        <v>151</v>
      </c>
      <c r="L71" t="s">
        <v>151</v>
      </c>
      <c r="M71" t="s">
        <v>151</v>
      </c>
      <c r="N71" t="s">
        <v>151</v>
      </c>
      <c r="O71" t="s">
        <v>151</v>
      </c>
      <c r="P71" t="s">
        <v>151</v>
      </c>
      <c r="Q71" t="s">
        <v>151</v>
      </c>
      <c r="S71" t="str">
        <f t="shared" si="2"/>
        <v>INDUSINDBK</v>
      </c>
      <c r="T71" t="str">
        <f t="shared" si="3"/>
        <v>INDUSINDBK</v>
      </c>
    </row>
    <row r="72" spans="1:20">
      <c r="A72" t="s">
        <v>235</v>
      </c>
      <c r="B72" t="s">
        <v>94</v>
      </c>
      <c r="C72" t="s">
        <v>94</v>
      </c>
      <c r="D72">
        <v>600</v>
      </c>
      <c r="E72">
        <v>600</v>
      </c>
      <c r="F72">
        <v>600</v>
      </c>
      <c r="G72" t="s">
        <v>151</v>
      </c>
      <c r="I72" t="s">
        <v>151</v>
      </c>
      <c r="J72" t="s">
        <v>151</v>
      </c>
      <c r="K72" t="s">
        <v>151</v>
      </c>
      <c r="L72" t="s">
        <v>151</v>
      </c>
      <c r="M72" t="s">
        <v>151</v>
      </c>
      <c r="N72" t="s">
        <v>151</v>
      </c>
      <c r="O72" t="s">
        <v>151</v>
      </c>
      <c r="P72" t="s">
        <v>151</v>
      </c>
      <c r="Q72" t="s">
        <v>151</v>
      </c>
      <c r="S72" t="str">
        <f t="shared" si="2"/>
        <v>INFY</v>
      </c>
      <c r="T72" t="str">
        <f t="shared" si="3"/>
        <v>INFY</v>
      </c>
    </row>
    <row r="73" spans="1:20">
      <c r="A73" t="s">
        <v>236</v>
      </c>
      <c r="B73" t="s">
        <v>395</v>
      </c>
      <c r="C73" t="s">
        <v>395</v>
      </c>
      <c r="D73">
        <v>325</v>
      </c>
      <c r="E73">
        <v>325</v>
      </c>
      <c r="F73">
        <v>325</v>
      </c>
      <c r="G73" t="s">
        <v>151</v>
      </c>
      <c r="I73" t="s">
        <v>151</v>
      </c>
      <c r="J73" t="s">
        <v>151</v>
      </c>
      <c r="K73" t="s">
        <v>151</v>
      </c>
      <c r="L73" t="s">
        <v>151</v>
      </c>
      <c r="M73" t="s">
        <v>151</v>
      </c>
      <c r="N73" t="s">
        <v>151</v>
      </c>
      <c r="O73" t="s">
        <v>151</v>
      </c>
      <c r="P73" t="s">
        <v>151</v>
      </c>
      <c r="Q73" t="s">
        <v>151</v>
      </c>
      <c r="S73" t="str">
        <f t="shared" si="2"/>
        <v>IRCTC</v>
      </c>
      <c r="T73" t="str">
        <f t="shared" si="3"/>
        <v>IRCTC</v>
      </c>
    </row>
    <row r="74" spans="1:20">
      <c r="A74" t="s">
        <v>237</v>
      </c>
      <c r="B74" t="s">
        <v>396</v>
      </c>
      <c r="C74" t="s">
        <v>396</v>
      </c>
      <c r="D74">
        <v>3200</v>
      </c>
      <c r="E74">
        <v>3200</v>
      </c>
      <c r="F74">
        <v>3200</v>
      </c>
      <c r="G74" t="s">
        <v>151</v>
      </c>
      <c r="I74" t="s">
        <v>151</v>
      </c>
      <c r="J74" t="s">
        <v>151</v>
      </c>
      <c r="K74" t="s">
        <v>151</v>
      </c>
      <c r="L74" t="s">
        <v>151</v>
      </c>
      <c r="M74" t="s">
        <v>151</v>
      </c>
      <c r="N74" t="s">
        <v>151</v>
      </c>
      <c r="O74" t="s">
        <v>151</v>
      </c>
      <c r="P74" t="s">
        <v>151</v>
      </c>
      <c r="Q74" t="s">
        <v>151</v>
      </c>
      <c r="S74" t="str">
        <f t="shared" si="2"/>
        <v>ITC</v>
      </c>
      <c r="T74" t="str">
        <f t="shared" si="3"/>
        <v>ITC</v>
      </c>
    </row>
    <row r="75" spans="1:20">
      <c r="A75" t="s">
        <v>238</v>
      </c>
      <c r="B75" t="s">
        <v>239</v>
      </c>
      <c r="C75" t="s">
        <v>239</v>
      </c>
      <c r="D75">
        <v>2500</v>
      </c>
      <c r="E75">
        <v>2500</v>
      </c>
      <c r="F75">
        <v>2500</v>
      </c>
      <c r="G75" t="s">
        <v>151</v>
      </c>
      <c r="I75" t="s">
        <v>151</v>
      </c>
      <c r="J75" t="s">
        <v>151</v>
      </c>
      <c r="K75" t="s">
        <v>151</v>
      </c>
      <c r="L75" t="s">
        <v>151</v>
      </c>
      <c r="M75" t="s">
        <v>151</v>
      </c>
      <c r="N75" t="s">
        <v>151</v>
      </c>
      <c r="O75" t="s">
        <v>151</v>
      </c>
      <c r="P75" t="s">
        <v>151</v>
      </c>
      <c r="Q75" t="s">
        <v>151</v>
      </c>
      <c r="S75" t="str">
        <f t="shared" si="2"/>
        <v>JINDALSTEL</v>
      </c>
      <c r="T75" t="str">
        <f t="shared" si="3"/>
        <v>JINDALSTEL</v>
      </c>
    </row>
    <row r="76" spans="1:20">
      <c r="A76" t="s">
        <v>240</v>
      </c>
      <c r="B76" t="s">
        <v>132</v>
      </c>
      <c r="C76" t="s">
        <v>132</v>
      </c>
      <c r="D76">
        <v>1350</v>
      </c>
      <c r="E76">
        <v>1350</v>
      </c>
      <c r="F76">
        <v>1350</v>
      </c>
      <c r="G76" t="s">
        <v>151</v>
      </c>
      <c r="I76" t="s">
        <v>151</v>
      </c>
      <c r="J76" t="s">
        <v>151</v>
      </c>
      <c r="K76" t="s">
        <v>151</v>
      </c>
      <c r="L76" t="s">
        <v>151</v>
      </c>
      <c r="M76" t="s">
        <v>151</v>
      </c>
      <c r="N76" t="s">
        <v>151</v>
      </c>
      <c r="O76" t="s">
        <v>151</v>
      </c>
      <c r="P76" t="s">
        <v>151</v>
      </c>
      <c r="Q76" t="s">
        <v>151</v>
      </c>
      <c r="S76" t="str">
        <f t="shared" si="2"/>
        <v>JSWSTEEL</v>
      </c>
      <c r="T76" t="str">
        <f t="shared" si="3"/>
        <v>JSWSTEEL</v>
      </c>
    </row>
    <row r="77" spans="1:20">
      <c r="A77" t="s">
        <v>241</v>
      </c>
      <c r="B77" t="s">
        <v>242</v>
      </c>
      <c r="C77" t="s">
        <v>242</v>
      </c>
      <c r="D77">
        <v>250</v>
      </c>
      <c r="E77">
        <v>250</v>
      </c>
      <c r="F77">
        <v>250</v>
      </c>
      <c r="G77" t="s">
        <v>151</v>
      </c>
      <c r="I77" t="s">
        <v>151</v>
      </c>
      <c r="J77" t="s">
        <v>151</v>
      </c>
      <c r="K77" t="s">
        <v>151</v>
      </c>
      <c r="L77" t="s">
        <v>151</v>
      </c>
      <c r="M77" t="s">
        <v>151</v>
      </c>
      <c r="N77" t="s">
        <v>151</v>
      </c>
      <c r="O77" t="s">
        <v>151</v>
      </c>
      <c r="P77" t="s">
        <v>151</v>
      </c>
      <c r="Q77" t="s">
        <v>151</v>
      </c>
      <c r="S77" t="str">
        <f t="shared" si="2"/>
        <v>LALPATHLAB</v>
      </c>
      <c r="T77" t="str">
        <f t="shared" si="3"/>
        <v>LALPATHLAB</v>
      </c>
    </row>
    <row r="78" spans="1:20">
      <c r="A78" t="s">
        <v>243</v>
      </c>
      <c r="B78" t="s">
        <v>397</v>
      </c>
      <c r="C78" t="s">
        <v>397</v>
      </c>
      <c r="D78">
        <v>1500</v>
      </c>
      <c r="E78">
        <v>1500</v>
      </c>
      <c r="F78">
        <v>1500</v>
      </c>
      <c r="G78" t="s">
        <v>151</v>
      </c>
      <c r="I78" t="s">
        <v>151</v>
      </c>
      <c r="J78" t="s">
        <v>151</v>
      </c>
      <c r="K78" t="s">
        <v>151</v>
      </c>
      <c r="L78" t="s">
        <v>151</v>
      </c>
      <c r="M78" t="s">
        <v>151</v>
      </c>
      <c r="N78" t="s">
        <v>151</v>
      </c>
      <c r="O78" t="s">
        <v>151</v>
      </c>
      <c r="P78" t="s">
        <v>151</v>
      </c>
      <c r="Q78" t="s">
        <v>151</v>
      </c>
      <c r="S78" t="str">
        <f t="shared" si="2"/>
        <v>SUNTV</v>
      </c>
      <c r="T78" t="str">
        <f t="shared" si="3"/>
        <v>SUNTV</v>
      </c>
    </row>
    <row r="79" spans="1:20">
      <c r="A79" t="s">
        <v>244</v>
      </c>
      <c r="B79" t="s">
        <v>398</v>
      </c>
      <c r="C79" t="s">
        <v>398</v>
      </c>
      <c r="D79">
        <v>2000</v>
      </c>
      <c r="E79">
        <v>2000</v>
      </c>
      <c r="F79">
        <v>2000</v>
      </c>
      <c r="G79" t="s">
        <v>151</v>
      </c>
      <c r="I79" t="s">
        <v>151</v>
      </c>
      <c r="J79" t="s">
        <v>151</v>
      </c>
      <c r="K79" t="s">
        <v>151</v>
      </c>
      <c r="L79" t="s">
        <v>151</v>
      </c>
      <c r="M79" t="s">
        <v>151</v>
      </c>
      <c r="N79" t="s">
        <v>151</v>
      </c>
      <c r="O79" t="s">
        <v>151</v>
      </c>
      <c r="P79" t="s">
        <v>151</v>
      </c>
      <c r="Q79" t="s">
        <v>151</v>
      </c>
      <c r="S79" t="str">
        <f t="shared" si="2"/>
        <v>LICHSGFIN</v>
      </c>
      <c r="T79" t="str">
        <f t="shared" si="3"/>
        <v>LICHSGFIN</v>
      </c>
    </row>
    <row r="80" spans="1:20">
      <c r="A80" t="s">
        <v>245</v>
      </c>
      <c r="B80" t="s">
        <v>399</v>
      </c>
      <c r="C80" t="s">
        <v>399</v>
      </c>
      <c r="D80">
        <v>575</v>
      </c>
      <c r="E80">
        <v>575</v>
      </c>
      <c r="F80">
        <v>575</v>
      </c>
      <c r="G80" t="s">
        <v>151</v>
      </c>
      <c r="I80" t="s">
        <v>151</v>
      </c>
      <c r="J80" t="s">
        <v>151</v>
      </c>
      <c r="K80" t="s">
        <v>151</v>
      </c>
      <c r="L80" t="s">
        <v>151</v>
      </c>
      <c r="M80" t="s">
        <v>151</v>
      </c>
      <c r="N80" t="s">
        <v>151</v>
      </c>
      <c r="O80" t="s">
        <v>151</v>
      </c>
      <c r="P80" t="s">
        <v>151</v>
      </c>
      <c r="Q80" t="s">
        <v>151</v>
      </c>
      <c r="S80" t="str">
        <f t="shared" si="2"/>
        <v>LT</v>
      </c>
      <c r="T80" t="str">
        <f t="shared" si="3"/>
        <v>LT</v>
      </c>
    </row>
    <row r="81" spans="1:20">
      <c r="A81" t="s">
        <v>246</v>
      </c>
      <c r="B81" t="s">
        <v>400</v>
      </c>
      <c r="C81" t="s">
        <v>400</v>
      </c>
      <c r="D81">
        <v>200</v>
      </c>
      <c r="E81">
        <v>200</v>
      </c>
      <c r="F81">
        <v>200</v>
      </c>
      <c r="G81" t="s">
        <v>151</v>
      </c>
      <c r="I81" t="s">
        <v>151</v>
      </c>
      <c r="J81" t="s">
        <v>151</v>
      </c>
      <c r="K81" t="s">
        <v>151</v>
      </c>
      <c r="L81" t="s">
        <v>151</v>
      </c>
      <c r="M81" t="s">
        <v>151</v>
      </c>
      <c r="N81" t="s">
        <v>151</v>
      </c>
      <c r="O81" t="s">
        <v>151</v>
      </c>
      <c r="P81" t="s">
        <v>151</v>
      </c>
      <c r="Q81" t="s">
        <v>151</v>
      </c>
      <c r="S81" t="str">
        <f t="shared" si="2"/>
        <v>LTTS</v>
      </c>
      <c r="T81" t="str">
        <f t="shared" si="3"/>
        <v>LTTS</v>
      </c>
    </row>
    <row r="82" spans="1:20">
      <c r="A82" t="s">
        <v>247</v>
      </c>
      <c r="B82" t="s">
        <v>127</v>
      </c>
      <c r="C82" t="s">
        <v>127</v>
      </c>
      <c r="D82">
        <v>850</v>
      </c>
      <c r="E82">
        <v>850</v>
      </c>
      <c r="F82">
        <v>850</v>
      </c>
      <c r="G82" t="s">
        <v>151</v>
      </c>
      <c r="I82" t="s">
        <v>151</v>
      </c>
      <c r="J82" t="s">
        <v>151</v>
      </c>
      <c r="K82" t="s">
        <v>151</v>
      </c>
      <c r="L82" t="s">
        <v>151</v>
      </c>
      <c r="M82" t="s">
        <v>151</v>
      </c>
      <c r="N82" t="s">
        <v>151</v>
      </c>
      <c r="O82" t="s">
        <v>151</v>
      </c>
      <c r="P82" t="s">
        <v>151</v>
      </c>
      <c r="Q82" t="s">
        <v>151</v>
      </c>
      <c r="S82" t="str">
        <f t="shared" si="2"/>
        <v>LUPIN</v>
      </c>
      <c r="T82" t="str">
        <f t="shared" si="3"/>
        <v>LUPIN</v>
      </c>
    </row>
    <row r="83" spans="1:20">
      <c r="A83" t="s">
        <v>248</v>
      </c>
      <c r="B83" t="s">
        <v>401</v>
      </c>
      <c r="C83" t="s">
        <v>401</v>
      </c>
      <c r="D83">
        <v>4000</v>
      </c>
      <c r="E83">
        <v>4000</v>
      </c>
      <c r="F83">
        <v>4000</v>
      </c>
      <c r="G83" t="s">
        <v>151</v>
      </c>
      <c r="I83" t="s">
        <v>151</v>
      </c>
      <c r="J83" t="s">
        <v>151</v>
      </c>
      <c r="K83" t="s">
        <v>151</v>
      </c>
      <c r="L83" t="s">
        <v>151</v>
      </c>
      <c r="M83" t="s">
        <v>151</v>
      </c>
      <c r="N83" t="s">
        <v>151</v>
      </c>
      <c r="O83" t="s">
        <v>151</v>
      </c>
      <c r="P83" t="s">
        <v>151</v>
      </c>
      <c r="Q83" t="s">
        <v>151</v>
      </c>
      <c r="S83" t="str">
        <f t="shared" si="2"/>
        <v>M&amp;MFIN</v>
      </c>
      <c r="T83" t="str">
        <f t="shared" si="3"/>
        <v>M&amp;MFIN</v>
      </c>
    </row>
    <row r="84" spans="1:20">
      <c r="A84" t="s">
        <v>249</v>
      </c>
      <c r="B84" t="s">
        <v>250</v>
      </c>
      <c r="C84" t="s">
        <v>250</v>
      </c>
      <c r="D84">
        <v>6000</v>
      </c>
      <c r="E84">
        <v>6000</v>
      </c>
      <c r="F84">
        <v>6000</v>
      </c>
      <c r="G84" t="s">
        <v>151</v>
      </c>
      <c r="I84" t="s">
        <v>151</v>
      </c>
      <c r="J84" t="s">
        <v>151</v>
      </c>
      <c r="K84" t="s">
        <v>151</v>
      </c>
      <c r="L84" t="s">
        <v>151</v>
      </c>
      <c r="M84" t="s">
        <v>151</v>
      </c>
      <c r="N84" t="s">
        <v>151</v>
      </c>
      <c r="O84" t="s">
        <v>151</v>
      </c>
      <c r="P84" t="s">
        <v>151</v>
      </c>
      <c r="Q84" t="s">
        <v>151</v>
      </c>
      <c r="S84" t="str">
        <f t="shared" si="2"/>
        <v>MANAPPURAM</v>
      </c>
      <c r="T84" t="str">
        <f t="shared" si="3"/>
        <v>MANAPPURAM</v>
      </c>
    </row>
    <row r="85" spans="1:20">
      <c r="A85" t="s">
        <v>251</v>
      </c>
      <c r="B85" t="s">
        <v>90</v>
      </c>
      <c r="C85" t="s">
        <v>90</v>
      </c>
      <c r="D85">
        <v>300</v>
      </c>
      <c r="E85">
        <v>300</v>
      </c>
      <c r="F85">
        <v>300</v>
      </c>
      <c r="G85" t="s">
        <v>151</v>
      </c>
      <c r="I85" t="s">
        <v>151</v>
      </c>
      <c r="J85" t="s">
        <v>151</v>
      </c>
      <c r="K85" t="s">
        <v>151</v>
      </c>
      <c r="L85" t="s">
        <v>151</v>
      </c>
      <c r="M85" t="s">
        <v>151</v>
      </c>
      <c r="N85" t="s">
        <v>151</v>
      </c>
      <c r="O85" t="s">
        <v>151</v>
      </c>
      <c r="P85" t="s">
        <v>151</v>
      </c>
      <c r="Q85" t="s">
        <v>151</v>
      </c>
      <c r="S85" t="str">
        <f t="shared" si="2"/>
        <v>TCS</v>
      </c>
      <c r="T85" t="str">
        <f t="shared" si="3"/>
        <v>TCS</v>
      </c>
    </row>
    <row r="86" spans="1:20">
      <c r="A86" t="s">
        <v>252</v>
      </c>
      <c r="B86" t="s">
        <v>402</v>
      </c>
      <c r="C86" t="s">
        <v>402</v>
      </c>
      <c r="D86">
        <v>100</v>
      </c>
      <c r="E86">
        <v>100</v>
      </c>
      <c r="F86">
        <v>100</v>
      </c>
      <c r="G86" t="s">
        <v>151</v>
      </c>
      <c r="I86" t="s">
        <v>151</v>
      </c>
      <c r="J86" t="s">
        <v>151</v>
      </c>
      <c r="K86" t="s">
        <v>151</v>
      </c>
      <c r="L86" t="s">
        <v>151</v>
      </c>
      <c r="M86" t="s">
        <v>151</v>
      </c>
      <c r="N86" t="s">
        <v>151</v>
      </c>
      <c r="O86" t="s">
        <v>151</v>
      </c>
      <c r="P86" t="s">
        <v>151</v>
      </c>
      <c r="Q86" t="s">
        <v>151</v>
      </c>
      <c r="S86" t="str">
        <f t="shared" si="2"/>
        <v>MARUTI</v>
      </c>
      <c r="T86" t="str">
        <f t="shared" si="3"/>
        <v>MARUTI</v>
      </c>
    </row>
    <row r="87" spans="1:20">
      <c r="A87" t="s">
        <v>253</v>
      </c>
      <c r="B87" t="s">
        <v>254</v>
      </c>
      <c r="C87" t="s">
        <v>254</v>
      </c>
      <c r="D87">
        <v>1250</v>
      </c>
      <c r="E87">
        <v>1250</v>
      </c>
      <c r="F87">
        <v>1250</v>
      </c>
      <c r="G87" t="s">
        <v>151</v>
      </c>
      <c r="I87" t="s">
        <v>151</v>
      </c>
      <c r="J87" t="s">
        <v>151</v>
      </c>
      <c r="K87" t="s">
        <v>151</v>
      </c>
      <c r="L87" t="s">
        <v>151</v>
      </c>
      <c r="M87" t="s">
        <v>151</v>
      </c>
      <c r="N87" t="s">
        <v>151</v>
      </c>
      <c r="O87" t="s">
        <v>151</v>
      </c>
      <c r="P87" t="s">
        <v>151</v>
      </c>
      <c r="Q87" t="s">
        <v>151</v>
      </c>
      <c r="S87" t="str">
        <f t="shared" si="2"/>
        <v>MCDOWELL-N</v>
      </c>
      <c r="T87" t="str">
        <f t="shared" si="3"/>
        <v>MCDOWELL-N</v>
      </c>
    </row>
    <row r="88" spans="1:20">
      <c r="A88" t="s">
        <v>255</v>
      </c>
      <c r="B88" t="s">
        <v>403</v>
      </c>
      <c r="C88" t="s">
        <v>403</v>
      </c>
      <c r="D88">
        <v>600</v>
      </c>
      <c r="E88">
        <v>600</v>
      </c>
      <c r="F88">
        <v>600</v>
      </c>
      <c r="G88" t="s">
        <v>151</v>
      </c>
      <c r="I88" t="s">
        <v>151</v>
      </c>
      <c r="J88" t="s">
        <v>151</v>
      </c>
      <c r="K88" t="s">
        <v>151</v>
      </c>
      <c r="L88" t="s">
        <v>151</v>
      </c>
      <c r="M88" t="s">
        <v>151</v>
      </c>
      <c r="N88" t="s">
        <v>151</v>
      </c>
      <c r="O88" t="s">
        <v>151</v>
      </c>
      <c r="P88" t="s">
        <v>151</v>
      </c>
      <c r="Q88" t="s">
        <v>151</v>
      </c>
      <c r="S88" t="str">
        <f t="shared" si="2"/>
        <v>TECHM</v>
      </c>
      <c r="T88" t="str">
        <f t="shared" si="3"/>
        <v>TECHM</v>
      </c>
    </row>
    <row r="89" spans="1:20">
      <c r="A89" t="s">
        <v>256</v>
      </c>
      <c r="B89" t="s">
        <v>257</v>
      </c>
      <c r="C89" t="s">
        <v>257</v>
      </c>
      <c r="D89">
        <v>200</v>
      </c>
      <c r="E89">
        <v>200</v>
      </c>
      <c r="F89">
        <v>200</v>
      </c>
      <c r="G89" t="s">
        <v>151</v>
      </c>
      <c r="I89" t="s">
        <v>151</v>
      </c>
      <c r="J89" t="s">
        <v>151</v>
      </c>
      <c r="K89" t="s">
        <v>151</v>
      </c>
      <c r="L89" t="s">
        <v>151</v>
      </c>
      <c r="M89" t="s">
        <v>151</v>
      </c>
      <c r="N89" t="s">
        <v>151</v>
      </c>
      <c r="O89" t="s">
        <v>151</v>
      </c>
      <c r="P89" t="s">
        <v>151</v>
      </c>
      <c r="Q89" t="s">
        <v>151</v>
      </c>
      <c r="S89" t="str">
        <f t="shared" si="2"/>
        <v>METROPOLIS</v>
      </c>
      <c r="T89" t="str">
        <f t="shared" si="3"/>
        <v>METROPOLIS</v>
      </c>
    </row>
    <row r="90" spans="1:20">
      <c r="A90" t="s">
        <v>258</v>
      </c>
      <c r="B90" t="s">
        <v>404</v>
      </c>
      <c r="C90" t="s">
        <v>404</v>
      </c>
      <c r="D90">
        <v>650</v>
      </c>
      <c r="E90">
        <v>650</v>
      </c>
      <c r="F90">
        <v>650</v>
      </c>
      <c r="G90" t="s">
        <v>151</v>
      </c>
      <c r="I90" t="s">
        <v>151</v>
      </c>
      <c r="J90" t="s">
        <v>151</v>
      </c>
      <c r="K90" t="s">
        <v>151</v>
      </c>
      <c r="L90" t="s">
        <v>151</v>
      </c>
      <c r="M90" t="s">
        <v>151</v>
      </c>
      <c r="N90" t="s">
        <v>151</v>
      </c>
      <c r="O90" t="s">
        <v>151</v>
      </c>
      <c r="P90" t="s">
        <v>151</v>
      </c>
      <c r="Q90" t="s">
        <v>151</v>
      </c>
      <c r="S90" t="str">
        <f t="shared" si="2"/>
        <v>MFSL</v>
      </c>
      <c r="T90" t="str">
        <f t="shared" si="3"/>
        <v>MFSL</v>
      </c>
    </row>
    <row r="91" spans="1:20">
      <c r="A91" t="s">
        <v>259</v>
      </c>
      <c r="B91" t="s">
        <v>405</v>
      </c>
      <c r="C91" t="s">
        <v>405</v>
      </c>
      <c r="D91">
        <v>3100</v>
      </c>
      <c r="E91">
        <v>3100</v>
      </c>
      <c r="F91">
        <v>3100</v>
      </c>
      <c r="G91" t="s">
        <v>151</v>
      </c>
      <c r="I91" t="s">
        <v>151</v>
      </c>
      <c r="J91" t="s">
        <v>151</v>
      </c>
      <c r="K91" t="s">
        <v>151</v>
      </c>
      <c r="L91" t="s">
        <v>151</v>
      </c>
      <c r="M91" t="s">
        <v>151</v>
      </c>
      <c r="N91" t="s">
        <v>151</v>
      </c>
      <c r="O91" t="s">
        <v>151</v>
      </c>
      <c r="P91" t="s">
        <v>151</v>
      </c>
      <c r="Q91" t="s">
        <v>151</v>
      </c>
      <c r="S91" t="str">
        <f t="shared" si="2"/>
        <v>VEDL</v>
      </c>
      <c r="T91" t="str">
        <f t="shared" si="3"/>
        <v>VEDL</v>
      </c>
    </row>
    <row r="92" spans="1:20">
      <c r="A92" t="s">
        <v>260</v>
      </c>
      <c r="B92" t="s">
        <v>107</v>
      </c>
      <c r="C92" t="s">
        <v>107</v>
      </c>
      <c r="D92">
        <v>600</v>
      </c>
      <c r="E92">
        <v>600</v>
      </c>
      <c r="F92">
        <v>600</v>
      </c>
      <c r="G92" t="s">
        <v>151</v>
      </c>
      <c r="I92" t="s">
        <v>151</v>
      </c>
      <c r="J92" t="s">
        <v>151</v>
      </c>
      <c r="K92" t="s">
        <v>151</v>
      </c>
      <c r="L92" t="s">
        <v>151</v>
      </c>
      <c r="M92" t="s">
        <v>151</v>
      </c>
      <c r="N92" t="s">
        <v>151</v>
      </c>
      <c r="O92" t="s">
        <v>151</v>
      </c>
      <c r="P92" t="s">
        <v>151</v>
      </c>
      <c r="Q92" t="s">
        <v>151</v>
      </c>
      <c r="S92" t="str">
        <f t="shared" si="2"/>
        <v>MGL</v>
      </c>
      <c r="T92" t="str">
        <f t="shared" si="3"/>
        <v>MGL</v>
      </c>
    </row>
    <row r="93" spans="1:20">
      <c r="A93" t="s">
        <v>261</v>
      </c>
      <c r="B93" t="s">
        <v>16</v>
      </c>
      <c r="C93" t="s">
        <v>16</v>
      </c>
      <c r="D93">
        <v>550</v>
      </c>
      <c r="E93">
        <v>550</v>
      </c>
      <c r="F93">
        <v>550</v>
      </c>
      <c r="G93" t="s">
        <v>151</v>
      </c>
      <c r="I93" t="s">
        <v>151</v>
      </c>
      <c r="J93" t="s">
        <v>151</v>
      </c>
      <c r="K93" t="s">
        <v>151</v>
      </c>
      <c r="L93" t="s">
        <v>151</v>
      </c>
      <c r="M93" t="s">
        <v>151</v>
      </c>
      <c r="N93" t="s">
        <v>151</v>
      </c>
      <c r="O93" t="s">
        <v>151</v>
      </c>
      <c r="P93" t="s">
        <v>151</v>
      </c>
      <c r="Q93" t="s">
        <v>151</v>
      </c>
      <c r="S93" t="str">
        <f t="shared" si="2"/>
        <v>APLLTD</v>
      </c>
      <c r="T93" t="str">
        <f t="shared" si="3"/>
        <v>APLLTD</v>
      </c>
    </row>
    <row r="94" spans="1:20">
      <c r="A94" t="s">
        <v>262</v>
      </c>
      <c r="B94" t="s">
        <v>406</v>
      </c>
      <c r="C94" t="s">
        <v>406</v>
      </c>
      <c r="D94">
        <v>10</v>
      </c>
      <c r="E94">
        <v>10</v>
      </c>
      <c r="F94">
        <v>10</v>
      </c>
      <c r="G94" t="s">
        <v>151</v>
      </c>
      <c r="I94" t="s">
        <v>151</v>
      </c>
      <c r="J94" t="s">
        <v>151</v>
      </c>
      <c r="K94" t="s">
        <v>151</v>
      </c>
      <c r="L94" t="s">
        <v>151</v>
      </c>
      <c r="M94" t="s">
        <v>151</v>
      </c>
      <c r="N94" t="s">
        <v>151</v>
      </c>
      <c r="O94" t="s">
        <v>151</v>
      </c>
      <c r="P94" t="s">
        <v>151</v>
      </c>
      <c r="Q94" t="s">
        <v>151</v>
      </c>
      <c r="S94" t="str">
        <f t="shared" si="2"/>
        <v>MRF</v>
      </c>
      <c r="T94" t="str">
        <f t="shared" si="3"/>
        <v>MRF</v>
      </c>
    </row>
    <row r="95" spans="1:20">
      <c r="A95" t="s">
        <v>263</v>
      </c>
      <c r="B95" t="s">
        <v>131</v>
      </c>
      <c r="C95" t="s">
        <v>131</v>
      </c>
      <c r="D95">
        <v>750</v>
      </c>
      <c r="E95">
        <v>750</v>
      </c>
      <c r="F95">
        <v>750</v>
      </c>
      <c r="G95" t="s">
        <v>151</v>
      </c>
      <c r="I95" t="s">
        <v>151</v>
      </c>
      <c r="J95" t="s">
        <v>151</v>
      </c>
      <c r="K95" t="s">
        <v>151</v>
      </c>
      <c r="L95" t="s">
        <v>151</v>
      </c>
      <c r="M95" t="s">
        <v>151</v>
      </c>
      <c r="N95" t="s">
        <v>151</v>
      </c>
      <c r="O95" t="s">
        <v>151</v>
      </c>
      <c r="P95" t="s">
        <v>151</v>
      </c>
      <c r="Q95" t="s">
        <v>151</v>
      </c>
      <c r="S95" t="str">
        <f t="shared" si="2"/>
        <v>MUTHOOTFIN</v>
      </c>
      <c r="T95" t="str">
        <f t="shared" si="3"/>
        <v>MUTHOOTFIN</v>
      </c>
    </row>
    <row r="96" spans="1:20">
      <c r="A96" t="s">
        <v>264</v>
      </c>
      <c r="B96" t="s">
        <v>265</v>
      </c>
      <c r="C96" t="s">
        <v>265</v>
      </c>
      <c r="D96">
        <v>400</v>
      </c>
      <c r="E96">
        <v>400</v>
      </c>
      <c r="F96">
        <v>400</v>
      </c>
      <c r="G96" t="s">
        <v>151</v>
      </c>
      <c r="I96" t="s">
        <v>151</v>
      </c>
      <c r="J96" t="s">
        <v>151</v>
      </c>
      <c r="K96" t="s">
        <v>151</v>
      </c>
      <c r="L96" t="s">
        <v>151</v>
      </c>
      <c r="M96" t="s">
        <v>151</v>
      </c>
      <c r="N96" t="s">
        <v>151</v>
      </c>
      <c r="O96" t="s">
        <v>151</v>
      </c>
      <c r="P96" t="s">
        <v>151</v>
      </c>
      <c r="Q96" t="s">
        <v>151</v>
      </c>
      <c r="S96" t="str">
        <f t="shared" si="2"/>
        <v>BALKRISIND</v>
      </c>
      <c r="T96" t="str">
        <f t="shared" si="3"/>
        <v>BALKRISIND</v>
      </c>
    </row>
    <row r="97" spans="1:20">
      <c r="A97" t="s">
        <v>266</v>
      </c>
      <c r="B97" t="s">
        <v>407</v>
      </c>
      <c r="C97" t="s">
        <v>407</v>
      </c>
      <c r="D97">
        <v>125</v>
      </c>
      <c r="E97">
        <v>125</v>
      </c>
      <c r="F97">
        <v>125</v>
      </c>
      <c r="G97" t="s">
        <v>151</v>
      </c>
      <c r="I97" t="s">
        <v>151</v>
      </c>
      <c r="J97" t="s">
        <v>151</v>
      </c>
      <c r="K97" t="s">
        <v>151</v>
      </c>
      <c r="L97" t="s">
        <v>151</v>
      </c>
      <c r="M97" t="s">
        <v>151</v>
      </c>
      <c r="N97" t="s">
        <v>151</v>
      </c>
      <c r="O97" t="s">
        <v>151</v>
      </c>
      <c r="P97" t="s">
        <v>151</v>
      </c>
      <c r="Q97" t="s">
        <v>151</v>
      </c>
      <c r="S97" t="str">
        <f t="shared" si="2"/>
        <v>NAUKRI</v>
      </c>
      <c r="T97" t="str">
        <f t="shared" si="3"/>
        <v>NAUKRI</v>
      </c>
    </row>
    <row r="98" spans="1:20">
      <c r="A98" t="s">
        <v>267</v>
      </c>
      <c r="B98" t="s">
        <v>408</v>
      </c>
      <c r="C98" t="s">
        <v>408</v>
      </c>
      <c r="D98">
        <v>275</v>
      </c>
      <c r="E98">
        <v>275</v>
      </c>
      <c r="F98">
        <v>275</v>
      </c>
      <c r="G98" t="s">
        <v>151</v>
      </c>
      <c r="I98" t="s">
        <v>151</v>
      </c>
      <c r="J98" t="s">
        <v>151</v>
      </c>
      <c r="K98" t="s">
        <v>151</v>
      </c>
      <c r="L98" t="s">
        <v>151</v>
      </c>
      <c r="M98" t="s">
        <v>151</v>
      </c>
      <c r="N98" t="s">
        <v>151</v>
      </c>
      <c r="O98" t="s">
        <v>151</v>
      </c>
      <c r="P98" t="s">
        <v>151</v>
      </c>
      <c r="Q98" t="s">
        <v>151</v>
      </c>
      <c r="S98" t="str">
        <f t="shared" si="2"/>
        <v>ASTRAL</v>
      </c>
      <c r="T98" t="str">
        <f t="shared" si="3"/>
        <v>ASTRAL</v>
      </c>
    </row>
    <row r="99" spans="1:20">
      <c r="A99" t="s">
        <v>268</v>
      </c>
      <c r="B99" t="s">
        <v>128</v>
      </c>
      <c r="C99" t="s">
        <v>128</v>
      </c>
      <c r="D99">
        <v>225</v>
      </c>
      <c r="E99">
        <v>225</v>
      </c>
      <c r="F99">
        <v>225</v>
      </c>
      <c r="G99" t="s">
        <v>151</v>
      </c>
      <c r="I99" t="s">
        <v>151</v>
      </c>
      <c r="J99" t="s">
        <v>151</v>
      </c>
      <c r="K99" t="s">
        <v>151</v>
      </c>
      <c r="L99" t="s">
        <v>151</v>
      </c>
      <c r="M99" t="s">
        <v>151</v>
      </c>
      <c r="N99" t="s">
        <v>151</v>
      </c>
      <c r="O99" t="s">
        <v>151</v>
      </c>
      <c r="P99" t="s">
        <v>151</v>
      </c>
      <c r="Q99" t="s">
        <v>151</v>
      </c>
      <c r="S99" t="str">
        <f t="shared" si="2"/>
        <v>NAVINFLUOR</v>
      </c>
      <c r="T99" t="str">
        <f t="shared" si="3"/>
        <v>NAVINFLUOR</v>
      </c>
    </row>
    <row r="100" spans="1:20">
      <c r="A100" t="s">
        <v>269</v>
      </c>
      <c r="B100" t="s">
        <v>409</v>
      </c>
      <c r="C100" t="s">
        <v>409</v>
      </c>
      <c r="D100">
        <v>50</v>
      </c>
      <c r="E100">
        <v>50</v>
      </c>
      <c r="F100">
        <v>50</v>
      </c>
      <c r="G100" t="s">
        <v>151</v>
      </c>
      <c r="I100" t="s">
        <v>151</v>
      </c>
      <c r="J100" t="s">
        <v>151</v>
      </c>
      <c r="K100" t="s">
        <v>151</v>
      </c>
      <c r="L100" t="s">
        <v>151</v>
      </c>
      <c r="M100" t="s">
        <v>151</v>
      </c>
      <c r="N100" t="s">
        <v>151</v>
      </c>
      <c r="O100" t="s">
        <v>151</v>
      </c>
      <c r="P100" t="s">
        <v>151</v>
      </c>
      <c r="Q100" t="s">
        <v>151</v>
      </c>
      <c r="S100" t="str">
        <f t="shared" si="2"/>
        <v>NESTLEIND</v>
      </c>
      <c r="T100" t="str">
        <f t="shared" si="3"/>
        <v>NESTLEIND</v>
      </c>
    </row>
    <row r="101" spans="1:20">
      <c r="A101" t="s">
        <v>270</v>
      </c>
      <c r="B101" t="s">
        <v>410</v>
      </c>
      <c r="C101" t="s">
        <v>410</v>
      </c>
      <c r="D101">
        <v>6700</v>
      </c>
      <c r="E101">
        <v>6700</v>
      </c>
      <c r="F101">
        <v>6700</v>
      </c>
      <c r="G101" t="s">
        <v>151</v>
      </c>
      <c r="I101" t="s">
        <v>151</v>
      </c>
      <c r="J101" t="s">
        <v>151</v>
      </c>
      <c r="K101" t="s">
        <v>151</v>
      </c>
      <c r="L101" t="s">
        <v>151</v>
      </c>
      <c r="M101" t="s">
        <v>151</v>
      </c>
      <c r="N101" t="s">
        <v>151</v>
      </c>
      <c r="O101" t="s">
        <v>151</v>
      </c>
      <c r="P101" t="s">
        <v>151</v>
      </c>
      <c r="Q101" t="s">
        <v>151</v>
      </c>
      <c r="S101" t="str">
        <f t="shared" si="2"/>
        <v>NMDC</v>
      </c>
      <c r="T101" t="str">
        <f t="shared" si="3"/>
        <v>NMDC</v>
      </c>
    </row>
    <row r="102" spans="1:20">
      <c r="A102" t="s">
        <v>271</v>
      </c>
      <c r="B102" t="s">
        <v>411</v>
      </c>
      <c r="C102" t="s">
        <v>411</v>
      </c>
      <c r="D102">
        <v>5700</v>
      </c>
      <c r="E102">
        <v>5700</v>
      </c>
      <c r="F102">
        <v>5700</v>
      </c>
      <c r="G102" t="s">
        <v>151</v>
      </c>
      <c r="I102" t="s">
        <v>151</v>
      </c>
      <c r="J102" t="s">
        <v>151</v>
      </c>
      <c r="K102" t="s">
        <v>151</v>
      </c>
      <c r="L102" t="s">
        <v>151</v>
      </c>
      <c r="M102" t="s">
        <v>151</v>
      </c>
      <c r="N102" t="s">
        <v>151</v>
      </c>
      <c r="O102" t="s">
        <v>151</v>
      </c>
      <c r="P102" t="s">
        <v>151</v>
      </c>
      <c r="Q102" t="s">
        <v>151</v>
      </c>
      <c r="S102" t="str">
        <f t="shared" si="2"/>
        <v>NTPC</v>
      </c>
      <c r="T102" t="str">
        <f t="shared" si="3"/>
        <v>NTPC</v>
      </c>
    </row>
    <row r="103" spans="1:20">
      <c r="A103" t="s">
        <v>272</v>
      </c>
      <c r="B103" t="s">
        <v>412</v>
      </c>
      <c r="C103" t="s">
        <v>412</v>
      </c>
      <c r="D103">
        <v>7700</v>
      </c>
      <c r="E103">
        <v>7700</v>
      </c>
      <c r="F103">
        <v>7700</v>
      </c>
      <c r="G103" t="s">
        <v>151</v>
      </c>
      <c r="I103" t="s">
        <v>151</v>
      </c>
      <c r="J103" t="s">
        <v>151</v>
      </c>
      <c r="K103" t="s">
        <v>151</v>
      </c>
      <c r="L103" t="s">
        <v>151</v>
      </c>
      <c r="M103" t="s">
        <v>151</v>
      </c>
      <c r="N103" t="s">
        <v>151</v>
      </c>
      <c r="O103" t="s">
        <v>151</v>
      </c>
      <c r="P103" t="s">
        <v>151</v>
      </c>
      <c r="Q103" t="s">
        <v>151</v>
      </c>
      <c r="S103" t="str">
        <f t="shared" si="2"/>
        <v>ONGC</v>
      </c>
      <c r="T103" t="str">
        <f t="shared" si="3"/>
        <v>ONGC</v>
      </c>
    </row>
    <row r="104" spans="1:20">
      <c r="A104" t="s">
        <v>273</v>
      </c>
      <c r="B104" t="s">
        <v>129</v>
      </c>
      <c r="C104" t="s">
        <v>129</v>
      </c>
      <c r="D104">
        <v>125</v>
      </c>
      <c r="E104">
        <v>125</v>
      </c>
      <c r="F104">
        <v>125</v>
      </c>
      <c r="G104" t="s">
        <v>151</v>
      </c>
      <c r="I104" t="s">
        <v>151</v>
      </c>
      <c r="J104" t="s">
        <v>151</v>
      </c>
      <c r="K104" t="s">
        <v>151</v>
      </c>
      <c r="L104" t="s">
        <v>151</v>
      </c>
      <c r="M104" t="s">
        <v>151</v>
      </c>
      <c r="N104" t="s">
        <v>151</v>
      </c>
      <c r="O104" t="s">
        <v>151</v>
      </c>
      <c r="P104" t="s">
        <v>151</v>
      </c>
      <c r="Q104" t="s">
        <v>151</v>
      </c>
      <c r="S104" t="str">
        <f t="shared" si="2"/>
        <v>PFIZER</v>
      </c>
      <c r="T104" t="str">
        <f t="shared" si="3"/>
        <v>PFIZER</v>
      </c>
    </row>
    <row r="105" spans="1:20">
      <c r="A105" t="s">
        <v>274</v>
      </c>
      <c r="B105" t="s">
        <v>275</v>
      </c>
      <c r="C105" t="s">
        <v>275</v>
      </c>
      <c r="D105">
        <v>500</v>
      </c>
      <c r="E105">
        <v>500</v>
      </c>
      <c r="F105">
        <v>500</v>
      </c>
      <c r="G105" t="s">
        <v>151</v>
      </c>
      <c r="I105" t="s">
        <v>151</v>
      </c>
      <c r="J105" t="s">
        <v>151</v>
      </c>
      <c r="K105" t="s">
        <v>151</v>
      </c>
      <c r="L105" t="s">
        <v>151</v>
      </c>
      <c r="M105" t="s">
        <v>151</v>
      </c>
      <c r="N105" t="s">
        <v>151</v>
      </c>
      <c r="O105" t="s">
        <v>151</v>
      </c>
      <c r="P105" t="s">
        <v>151</v>
      </c>
      <c r="Q105" t="s">
        <v>151</v>
      </c>
      <c r="S105" t="str">
        <f t="shared" si="2"/>
        <v>PIDILITIND</v>
      </c>
      <c r="T105" t="str">
        <f t="shared" si="3"/>
        <v>PIDILITIND</v>
      </c>
    </row>
    <row r="106" spans="1:20">
      <c r="A106" t="s">
        <v>276</v>
      </c>
      <c r="B106" t="s">
        <v>413</v>
      </c>
      <c r="C106" t="s">
        <v>413</v>
      </c>
      <c r="D106">
        <v>250</v>
      </c>
      <c r="E106">
        <v>250</v>
      </c>
      <c r="F106">
        <v>250</v>
      </c>
      <c r="G106" t="s">
        <v>151</v>
      </c>
      <c r="I106" t="s">
        <v>151</v>
      </c>
      <c r="J106" t="s">
        <v>151</v>
      </c>
      <c r="K106" t="s">
        <v>151</v>
      </c>
      <c r="L106" t="s">
        <v>151</v>
      </c>
      <c r="M106" t="s">
        <v>151</v>
      </c>
      <c r="N106" t="s">
        <v>151</v>
      </c>
      <c r="O106" t="s">
        <v>151</v>
      </c>
      <c r="P106" t="s">
        <v>151</v>
      </c>
      <c r="Q106" t="s">
        <v>151</v>
      </c>
      <c r="S106" t="str">
        <f t="shared" si="2"/>
        <v>PIIND</v>
      </c>
      <c r="T106" t="str">
        <f t="shared" si="3"/>
        <v>PIIND</v>
      </c>
    </row>
    <row r="107" spans="1:20">
      <c r="A107" t="s">
        <v>277</v>
      </c>
      <c r="B107" t="s">
        <v>414</v>
      </c>
      <c r="C107" t="s">
        <v>414</v>
      </c>
      <c r="D107">
        <v>2900</v>
      </c>
      <c r="E107">
        <v>2900</v>
      </c>
      <c r="F107">
        <v>2900</v>
      </c>
      <c r="G107" t="s">
        <v>151</v>
      </c>
      <c r="I107" t="s">
        <v>151</v>
      </c>
      <c r="J107" t="s">
        <v>151</v>
      </c>
      <c r="K107" t="s">
        <v>151</v>
      </c>
      <c r="L107" t="s">
        <v>151</v>
      </c>
      <c r="M107" t="s">
        <v>151</v>
      </c>
      <c r="N107" t="s">
        <v>151</v>
      </c>
      <c r="O107" t="s">
        <v>151</v>
      </c>
      <c r="P107" t="s">
        <v>151</v>
      </c>
      <c r="Q107" t="s">
        <v>151</v>
      </c>
      <c r="S107" t="str">
        <f t="shared" si="2"/>
        <v>RBLBANK</v>
      </c>
      <c r="T107" t="str">
        <f t="shared" si="3"/>
        <v>RBLBANK</v>
      </c>
    </row>
    <row r="108" spans="1:20">
      <c r="A108" t="s">
        <v>278</v>
      </c>
      <c r="B108" t="s">
        <v>95</v>
      </c>
      <c r="C108" t="s">
        <v>95</v>
      </c>
      <c r="D108">
        <v>250</v>
      </c>
      <c r="E108">
        <v>250</v>
      </c>
      <c r="F108">
        <v>250</v>
      </c>
      <c r="G108" t="s">
        <v>151</v>
      </c>
      <c r="I108" t="s">
        <v>151</v>
      </c>
      <c r="J108" t="s">
        <v>151</v>
      </c>
      <c r="K108" t="s">
        <v>151</v>
      </c>
      <c r="L108" t="s">
        <v>151</v>
      </c>
      <c r="M108" t="s">
        <v>151</v>
      </c>
      <c r="N108" t="s">
        <v>151</v>
      </c>
      <c r="O108" t="s">
        <v>151</v>
      </c>
      <c r="P108" t="s">
        <v>151</v>
      </c>
      <c r="Q108" t="s">
        <v>151</v>
      </c>
      <c r="S108" t="str">
        <f t="shared" si="2"/>
        <v>RELIANCE</v>
      </c>
      <c r="T108" t="str">
        <f t="shared" si="3"/>
        <v>RELIANCE</v>
      </c>
    </row>
    <row r="109" spans="1:20">
      <c r="A109" t="s">
        <v>279</v>
      </c>
      <c r="B109" t="s">
        <v>415</v>
      </c>
      <c r="C109" t="s">
        <v>415</v>
      </c>
      <c r="D109">
        <v>9500</v>
      </c>
      <c r="E109">
        <v>9500</v>
      </c>
      <c r="F109">
        <v>9500</v>
      </c>
      <c r="G109" t="s">
        <v>151</v>
      </c>
      <c r="I109" t="s">
        <v>151</v>
      </c>
      <c r="J109" t="s">
        <v>151</v>
      </c>
      <c r="K109" t="s">
        <v>151</v>
      </c>
      <c r="L109" t="s">
        <v>151</v>
      </c>
      <c r="M109" t="s">
        <v>151</v>
      </c>
      <c r="N109" t="s">
        <v>151</v>
      </c>
      <c r="O109" t="s">
        <v>151</v>
      </c>
      <c r="P109" t="s">
        <v>151</v>
      </c>
      <c r="Q109" t="s">
        <v>151</v>
      </c>
      <c r="S109" t="str">
        <f t="shared" si="2"/>
        <v>SAIL</v>
      </c>
      <c r="T109" t="str">
        <f t="shared" si="3"/>
        <v>SAIL</v>
      </c>
    </row>
    <row r="110" spans="1:20">
      <c r="A110" t="s">
        <v>280</v>
      </c>
      <c r="B110" t="s">
        <v>416</v>
      </c>
      <c r="C110" t="s">
        <v>416</v>
      </c>
      <c r="D110">
        <v>750</v>
      </c>
      <c r="E110">
        <v>750</v>
      </c>
      <c r="F110">
        <v>750</v>
      </c>
      <c r="G110" t="s">
        <v>151</v>
      </c>
      <c r="I110" t="s">
        <v>151</v>
      </c>
      <c r="J110" t="s">
        <v>151</v>
      </c>
      <c r="K110" t="s">
        <v>151</v>
      </c>
      <c r="L110" t="s">
        <v>151</v>
      </c>
      <c r="M110" t="s">
        <v>151</v>
      </c>
      <c r="N110" t="s">
        <v>151</v>
      </c>
      <c r="O110" t="s">
        <v>151</v>
      </c>
      <c r="P110" t="s">
        <v>151</v>
      </c>
      <c r="Q110" t="s">
        <v>151</v>
      </c>
      <c r="S110" t="str">
        <f t="shared" si="2"/>
        <v>SBILIFE</v>
      </c>
      <c r="T110" t="str">
        <f t="shared" si="3"/>
        <v>SBILIFE</v>
      </c>
    </row>
    <row r="111" spans="1:20">
      <c r="A111" t="s">
        <v>281</v>
      </c>
      <c r="B111" t="s">
        <v>108</v>
      </c>
      <c r="C111" t="s">
        <v>108</v>
      </c>
      <c r="D111">
        <v>1500</v>
      </c>
      <c r="E111">
        <v>1500</v>
      </c>
      <c r="F111">
        <v>1500</v>
      </c>
      <c r="G111" t="s">
        <v>151</v>
      </c>
      <c r="I111" t="s">
        <v>151</v>
      </c>
      <c r="J111" t="s">
        <v>151</v>
      </c>
      <c r="K111" t="s">
        <v>151</v>
      </c>
      <c r="L111" t="s">
        <v>151</v>
      </c>
      <c r="M111" t="s">
        <v>151</v>
      </c>
      <c r="N111" t="s">
        <v>151</v>
      </c>
      <c r="O111" t="s">
        <v>151</v>
      </c>
      <c r="P111" t="s">
        <v>151</v>
      </c>
      <c r="Q111" t="s">
        <v>151</v>
      </c>
      <c r="S111" t="str">
        <f t="shared" si="2"/>
        <v>SBIN</v>
      </c>
      <c r="T111" t="str">
        <f t="shared" si="3"/>
        <v>SBIN</v>
      </c>
    </row>
    <row r="112" spans="1:20">
      <c r="A112" t="s">
        <v>282</v>
      </c>
      <c r="B112" t="s">
        <v>417</v>
      </c>
      <c r="C112" t="s">
        <v>417</v>
      </c>
      <c r="D112">
        <v>1000</v>
      </c>
      <c r="E112">
        <v>1000</v>
      </c>
      <c r="F112">
        <v>1000</v>
      </c>
      <c r="G112" t="s">
        <v>151</v>
      </c>
      <c r="I112" t="s">
        <v>151</v>
      </c>
      <c r="J112" t="s">
        <v>151</v>
      </c>
      <c r="K112" t="s">
        <v>151</v>
      </c>
      <c r="L112" t="s">
        <v>151</v>
      </c>
      <c r="M112" t="s">
        <v>151</v>
      </c>
      <c r="N112" t="s">
        <v>151</v>
      </c>
      <c r="O112" t="s">
        <v>151</v>
      </c>
      <c r="P112" t="s">
        <v>151</v>
      </c>
      <c r="Q112" t="s">
        <v>151</v>
      </c>
      <c r="S112" t="str">
        <f t="shared" si="2"/>
        <v>TATACHEM</v>
      </c>
      <c r="T112" t="str">
        <f t="shared" si="3"/>
        <v>TATACHEM</v>
      </c>
    </row>
    <row r="113" spans="1:20">
      <c r="A113" t="s">
        <v>283</v>
      </c>
      <c r="B113" t="s">
        <v>284</v>
      </c>
      <c r="C113" t="s">
        <v>284</v>
      </c>
      <c r="D113">
        <v>2850</v>
      </c>
      <c r="E113">
        <v>2850</v>
      </c>
      <c r="F113">
        <v>2850</v>
      </c>
      <c r="G113" t="s">
        <v>151</v>
      </c>
      <c r="I113" t="s">
        <v>151</v>
      </c>
      <c r="J113" t="s">
        <v>151</v>
      </c>
      <c r="K113" t="s">
        <v>151</v>
      </c>
      <c r="L113" t="s">
        <v>151</v>
      </c>
      <c r="M113" t="s">
        <v>151</v>
      </c>
      <c r="N113" t="s">
        <v>151</v>
      </c>
      <c r="O113" t="s">
        <v>151</v>
      </c>
      <c r="P113" t="s">
        <v>151</v>
      </c>
      <c r="Q113" t="s">
        <v>151</v>
      </c>
      <c r="S113" t="str">
        <f t="shared" si="2"/>
        <v>TATAMOTORS</v>
      </c>
      <c r="T113" t="str">
        <f t="shared" si="3"/>
        <v>TATAMOTORS</v>
      </c>
    </row>
    <row r="114" spans="1:20">
      <c r="A114" t="s">
        <v>285</v>
      </c>
      <c r="B114" t="s">
        <v>418</v>
      </c>
      <c r="C114" t="s">
        <v>418</v>
      </c>
      <c r="D114">
        <v>850</v>
      </c>
      <c r="E114">
        <v>850</v>
      </c>
      <c r="F114">
        <v>850</v>
      </c>
      <c r="G114" t="s">
        <v>151</v>
      </c>
      <c r="I114" t="s">
        <v>151</v>
      </c>
      <c r="J114" t="s">
        <v>151</v>
      </c>
      <c r="K114" t="s">
        <v>151</v>
      </c>
      <c r="L114" t="s">
        <v>151</v>
      </c>
      <c r="M114" t="s">
        <v>151</v>
      </c>
      <c r="N114" t="s">
        <v>151</v>
      </c>
      <c r="O114" t="s">
        <v>151</v>
      </c>
      <c r="P114" t="s">
        <v>151</v>
      </c>
      <c r="Q114" t="s">
        <v>151</v>
      </c>
      <c r="S114" t="str">
        <f t="shared" si="2"/>
        <v>TATASTEEL</v>
      </c>
      <c r="T114" t="str">
        <f t="shared" si="3"/>
        <v>TATASTEEL</v>
      </c>
    </row>
    <row r="115" spans="1:20">
      <c r="A115" t="s">
        <v>286</v>
      </c>
      <c r="B115" t="s">
        <v>419</v>
      </c>
      <c r="C115" t="s">
        <v>419</v>
      </c>
      <c r="D115">
        <v>375</v>
      </c>
      <c r="E115">
        <v>375</v>
      </c>
      <c r="F115">
        <v>375</v>
      </c>
      <c r="G115" t="s">
        <v>151</v>
      </c>
      <c r="I115" t="s">
        <v>151</v>
      </c>
      <c r="J115" t="s">
        <v>151</v>
      </c>
      <c r="K115" t="s">
        <v>151</v>
      </c>
      <c r="L115" t="s">
        <v>151</v>
      </c>
      <c r="M115" t="s">
        <v>151</v>
      </c>
      <c r="N115" t="s">
        <v>151</v>
      </c>
      <c r="O115" t="s">
        <v>151</v>
      </c>
      <c r="P115" t="s">
        <v>151</v>
      </c>
      <c r="Q115" t="s">
        <v>151</v>
      </c>
      <c r="S115" t="str">
        <f t="shared" si="2"/>
        <v>TITAN</v>
      </c>
      <c r="T115" t="str">
        <f t="shared" si="3"/>
        <v>TITAN</v>
      </c>
    </row>
    <row r="116" spans="1:20">
      <c r="A116" t="s">
        <v>287</v>
      </c>
      <c r="B116" t="s">
        <v>420</v>
      </c>
      <c r="C116" t="s">
        <v>420</v>
      </c>
      <c r="D116">
        <v>1400</v>
      </c>
      <c r="E116">
        <v>1400</v>
      </c>
      <c r="F116">
        <v>1400</v>
      </c>
      <c r="G116" t="s">
        <v>151</v>
      </c>
      <c r="I116" t="s">
        <v>151</v>
      </c>
      <c r="J116" t="s">
        <v>151</v>
      </c>
      <c r="K116" t="s">
        <v>151</v>
      </c>
      <c r="L116" t="s">
        <v>151</v>
      </c>
      <c r="M116" t="s">
        <v>151</v>
      </c>
      <c r="N116" t="s">
        <v>151</v>
      </c>
      <c r="O116" t="s">
        <v>151</v>
      </c>
      <c r="P116" t="s">
        <v>151</v>
      </c>
      <c r="Q116" t="s">
        <v>151</v>
      </c>
      <c r="S116" t="str">
        <f t="shared" si="2"/>
        <v>TVSMOTOR</v>
      </c>
      <c r="T116" t="str">
        <f t="shared" si="3"/>
        <v>TVSMOTOR</v>
      </c>
    </row>
    <row r="117" spans="1:20">
      <c r="A117" t="s">
        <v>288</v>
      </c>
      <c r="B117" t="s">
        <v>421</v>
      </c>
      <c r="C117" t="s">
        <v>421</v>
      </c>
      <c r="D117">
        <v>200</v>
      </c>
      <c r="E117">
        <v>200</v>
      </c>
      <c r="F117">
        <v>200</v>
      </c>
      <c r="G117" t="s">
        <v>151</v>
      </c>
      <c r="I117" t="s">
        <v>151</v>
      </c>
      <c r="J117" t="s">
        <v>151</v>
      </c>
      <c r="K117" t="s">
        <v>151</v>
      </c>
      <c r="L117" t="s">
        <v>151</v>
      </c>
      <c r="M117" t="s">
        <v>151</v>
      </c>
      <c r="N117" t="s">
        <v>151</v>
      </c>
      <c r="O117" t="s">
        <v>151</v>
      </c>
      <c r="P117" t="s">
        <v>151</v>
      </c>
      <c r="Q117" t="s">
        <v>151</v>
      </c>
      <c r="S117" t="str">
        <f t="shared" si="2"/>
        <v>DIVISLAB</v>
      </c>
      <c r="T117" t="str">
        <f t="shared" si="3"/>
        <v>DIVISLAB</v>
      </c>
    </row>
    <row r="118" spans="1:20">
      <c r="A118" t="s">
        <v>289</v>
      </c>
      <c r="B118" t="s">
        <v>109</v>
      </c>
      <c r="C118" t="s">
        <v>109</v>
      </c>
      <c r="D118">
        <v>100</v>
      </c>
      <c r="E118">
        <v>100</v>
      </c>
      <c r="F118">
        <v>100</v>
      </c>
      <c r="G118" t="s">
        <v>151</v>
      </c>
      <c r="I118" t="s">
        <v>151</v>
      </c>
      <c r="J118" t="s">
        <v>151</v>
      </c>
      <c r="K118" t="s">
        <v>151</v>
      </c>
      <c r="L118" t="s">
        <v>151</v>
      </c>
      <c r="M118" t="s">
        <v>151</v>
      </c>
      <c r="N118" t="s">
        <v>151</v>
      </c>
      <c r="O118" t="s">
        <v>151</v>
      </c>
      <c r="P118" t="s">
        <v>151</v>
      </c>
      <c r="Q118" t="s">
        <v>151</v>
      </c>
      <c r="S118" t="str">
        <f t="shared" si="2"/>
        <v>ULTRACEMCO</v>
      </c>
      <c r="T118" t="str">
        <f t="shared" si="3"/>
        <v>ULTRACEMCO</v>
      </c>
    </row>
    <row r="119" spans="1:20">
      <c r="A119" t="s">
        <v>290</v>
      </c>
      <c r="B119" t="s">
        <v>422</v>
      </c>
      <c r="C119" t="s">
        <v>422</v>
      </c>
      <c r="D119">
        <v>3000</v>
      </c>
      <c r="E119">
        <v>3000</v>
      </c>
      <c r="F119">
        <v>3000</v>
      </c>
      <c r="G119" t="s">
        <v>151</v>
      </c>
      <c r="I119" t="s">
        <v>151</v>
      </c>
      <c r="J119" t="s">
        <v>151</v>
      </c>
      <c r="K119" t="s">
        <v>151</v>
      </c>
      <c r="L119" t="s">
        <v>151</v>
      </c>
      <c r="M119" t="s">
        <v>151</v>
      </c>
      <c r="N119" t="s">
        <v>151</v>
      </c>
      <c r="O119" t="s">
        <v>151</v>
      </c>
      <c r="P119" t="s">
        <v>151</v>
      </c>
      <c r="Q119" t="s">
        <v>151</v>
      </c>
      <c r="S119" t="str">
        <f t="shared" si="2"/>
        <v>ZEEL</v>
      </c>
      <c r="T119" t="str">
        <f t="shared" si="3"/>
        <v>ZEEL</v>
      </c>
    </row>
    <row r="120" spans="1:20">
      <c r="A120" t="s">
        <v>291</v>
      </c>
      <c r="B120" t="s">
        <v>292</v>
      </c>
      <c r="C120" t="s">
        <v>292</v>
      </c>
      <c r="D120">
        <v>2500</v>
      </c>
      <c r="E120">
        <v>2500</v>
      </c>
      <c r="F120">
        <v>2500</v>
      </c>
      <c r="G120" t="s">
        <v>151</v>
      </c>
      <c r="I120" t="s">
        <v>151</v>
      </c>
      <c r="J120" t="s">
        <v>151</v>
      </c>
      <c r="K120" t="s">
        <v>151</v>
      </c>
      <c r="L120" t="s">
        <v>151</v>
      </c>
      <c r="M120" t="s">
        <v>151</v>
      </c>
      <c r="N120" t="s">
        <v>151</v>
      </c>
      <c r="O120" t="s">
        <v>151</v>
      </c>
      <c r="P120" t="s">
        <v>151</v>
      </c>
      <c r="Q120" t="s">
        <v>151</v>
      </c>
      <c r="S120" t="str">
        <f t="shared" si="2"/>
        <v>APOLLOTYRE</v>
      </c>
      <c r="T120" t="str">
        <f t="shared" si="3"/>
        <v>APOLLOTYRE</v>
      </c>
    </row>
    <row r="121" spans="1:20">
      <c r="A121" t="s">
        <v>293</v>
      </c>
      <c r="B121" t="s">
        <v>294</v>
      </c>
      <c r="C121" t="s">
        <v>294</v>
      </c>
      <c r="D121">
        <v>1100</v>
      </c>
      <c r="E121">
        <v>1100</v>
      </c>
      <c r="F121">
        <v>1100</v>
      </c>
      <c r="G121" t="s">
        <v>151</v>
      </c>
      <c r="I121" t="s">
        <v>151</v>
      </c>
      <c r="J121" t="s">
        <v>151</v>
      </c>
      <c r="K121" t="s">
        <v>151</v>
      </c>
      <c r="L121" t="s">
        <v>151</v>
      </c>
      <c r="M121" t="s">
        <v>151</v>
      </c>
      <c r="N121" t="s">
        <v>151</v>
      </c>
      <c r="O121" t="s">
        <v>151</v>
      </c>
      <c r="P121" t="s">
        <v>151</v>
      </c>
      <c r="Q121" t="s">
        <v>151</v>
      </c>
      <c r="S121" t="str">
        <f t="shared" si="2"/>
        <v>BERGEPAINT</v>
      </c>
      <c r="T121" t="str">
        <f t="shared" si="3"/>
        <v>BERGEPAINT</v>
      </c>
    </row>
    <row r="122" spans="1:20">
      <c r="A122" t="s">
        <v>295</v>
      </c>
      <c r="B122" t="s">
        <v>423</v>
      </c>
      <c r="C122" t="s">
        <v>423</v>
      </c>
      <c r="D122">
        <v>2300</v>
      </c>
      <c r="E122">
        <v>2300</v>
      </c>
      <c r="F122">
        <v>2300</v>
      </c>
      <c r="G122" t="s">
        <v>151</v>
      </c>
      <c r="I122" t="s">
        <v>151</v>
      </c>
      <c r="J122" t="s">
        <v>151</v>
      </c>
      <c r="K122" t="s">
        <v>151</v>
      </c>
      <c r="L122" t="s">
        <v>151</v>
      </c>
      <c r="M122" t="s">
        <v>151</v>
      </c>
      <c r="N122" t="s">
        <v>151</v>
      </c>
      <c r="O122" t="s">
        <v>151</v>
      </c>
      <c r="P122" t="s">
        <v>151</v>
      </c>
      <c r="Q122" t="s">
        <v>151</v>
      </c>
      <c r="S122" t="str">
        <f t="shared" si="2"/>
        <v>BIOCON</v>
      </c>
      <c r="T122" t="str">
        <f t="shared" si="3"/>
        <v>BIOCON</v>
      </c>
    </row>
    <row r="123" spans="1:20">
      <c r="A123" t="s">
        <v>296</v>
      </c>
      <c r="B123" t="s">
        <v>424</v>
      </c>
      <c r="C123" t="s">
        <v>424</v>
      </c>
      <c r="D123">
        <v>50</v>
      </c>
      <c r="E123">
        <v>50</v>
      </c>
      <c r="F123">
        <v>50</v>
      </c>
      <c r="G123" t="s">
        <v>151</v>
      </c>
      <c r="I123" t="s">
        <v>151</v>
      </c>
      <c r="J123" t="s">
        <v>151</v>
      </c>
      <c r="K123" t="s">
        <v>151</v>
      </c>
      <c r="L123" t="s">
        <v>151</v>
      </c>
      <c r="M123" t="s">
        <v>151</v>
      </c>
      <c r="N123" t="s">
        <v>151</v>
      </c>
      <c r="O123" t="s">
        <v>151</v>
      </c>
      <c r="P123" t="s">
        <v>151</v>
      </c>
      <c r="Q123" t="s">
        <v>151</v>
      </c>
      <c r="S123" t="str">
        <f t="shared" si="2"/>
        <v>BOSCHLTD</v>
      </c>
      <c r="T123" t="str">
        <f t="shared" si="3"/>
        <v>BOSCHLTD</v>
      </c>
    </row>
    <row r="124" spans="1:20">
      <c r="A124" t="s">
        <v>297</v>
      </c>
      <c r="B124" t="s">
        <v>425</v>
      </c>
      <c r="C124" t="s">
        <v>425</v>
      </c>
      <c r="D124">
        <v>200</v>
      </c>
      <c r="E124">
        <v>200</v>
      </c>
      <c r="F124">
        <v>200</v>
      </c>
      <c r="G124" t="s">
        <v>151</v>
      </c>
      <c r="I124" t="s">
        <v>151</v>
      </c>
      <c r="J124" t="s">
        <v>151</v>
      </c>
      <c r="K124" t="s">
        <v>151</v>
      </c>
      <c r="L124" t="s">
        <v>151</v>
      </c>
      <c r="M124" t="s">
        <v>151</v>
      </c>
      <c r="N124" t="s">
        <v>151</v>
      </c>
      <c r="O124" t="s">
        <v>151</v>
      </c>
      <c r="P124" t="s">
        <v>151</v>
      </c>
      <c r="Q124" t="s">
        <v>151</v>
      </c>
      <c r="S124" t="str">
        <f t="shared" si="2"/>
        <v>BRITANNIA</v>
      </c>
      <c r="T124" t="str">
        <f t="shared" si="3"/>
        <v>BRITANNIA</v>
      </c>
    </row>
    <row r="125" spans="1:20">
      <c r="A125" t="s">
        <v>298</v>
      </c>
      <c r="B125" t="s">
        <v>426</v>
      </c>
      <c r="C125" t="s">
        <v>426</v>
      </c>
      <c r="D125">
        <v>2200</v>
      </c>
      <c r="E125">
        <v>2200</v>
      </c>
      <c r="F125">
        <v>2200</v>
      </c>
      <c r="G125" t="s">
        <v>151</v>
      </c>
      <c r="I125" t="s">
        <v>151</v>
      </c>
      <c r="J125" t="s">
        <v>151</v>
      </c>
      <c r="K125" t="s">
        <v>151</v>
      </c>
      <c r="L125" t="s">
        <v>151</v>
      </c>
      <c r="M125" t="s">
        <v>151</v>
      </c>
      <c r="N125" t="s">
        <v>151</v>
      </c>
      <c r="O125" t="s">
        <v>151</v>
      </c>
      <c r="P125" t="s">
        <v>151</v>
      </c>
      <c r="Q125" t="s">
        <v>151</v>
      </c>
      <c r="S125" t="str">
        <f t="shared" si="2"/>
        <v>CADILAHC</v>
      </c>
      <c r="T125" t="str">
        <f t="shared" si="3"/>
        <v>CADILAHC</v>
      </c>
    </row>
    <row r="126" spans="1:20">
      <c r="A126" t="s">
        <v>299</v>
      </c>
      <c r="B126" t="s">
        <v>427</v>
      </c>
      <c r="C126" t="s">
        <v>427</v>
      </c>
      <c r="D126">
        <v>475</v>
      </c>
      <c r="E126">
        <v>475</v>
      </c>
      <c r="F126">
        <v>475</v>
      </c>
      <c r="G126" t="s">
        <v>151</v>
      </c>
      <c r="I126" t="s">
        <v>151</v>
      </c>
      <c r="J126" t="s">
        <v>151</v>
      </c>
      <c r="K126" t="s">
        <v>151</v>
      </c>
      <c r="L126" t="s">
        <v>151</v>
      </c>
      <c r="M126" t="s">
        <v>151</v>
      </c>
      <c r="N126" t="s">
        <v>151</v>
      </c>
      <c r="O126" t="s">
        <v>151</v>
      </c>
      <c r="P126" t="s">
        <v>151</v>
      </c>
      <c r="Q126" t="s">
        <v>151</v>
      </c>
      <c r="S126" t="str">
        <f t="shared" si="2"/>
        <v>GRASIM</v>
      </c>
      <c r="T126" t="str">
        <f t="shared" si="3"/>
        <v>GRASIM</v>
      </c>
    </row>
    <row r="127" spans="1:20">
      <c r="A127" t="s">
        <v>300</v>
      </c>
      <c r="B127" t="s">
        <v>428</v>
      </c>
      <c r="C127" t="s">
        <v>428</v>
      </c>
      <c r="D127">
        <v>1250</v>
      </c>
      <c r="E127">
        <v>1250</v>
      </c>
      <c r="F127">
        <v>1250</v>
      </c>
      <c r="G127" t="s">
        <v>151</v>
      </c>
      <c r="I127" t="s">
        <v>151</v>
      </c>
      <c r="J127" t="s">
        <v>151</v>
      </c>
      <c r="K127" t="s">
        <v>151</v>
      </c>
      <c r="L127" t="s">
        <v>151</v>
      </c>
      <c r="M127" t="s">
        <v>151</v>
      </c>
      <c r="N127" t="s">
        <v>151</v>
      </c>
      <c r="O127" t="s">
        <v>151</v>
      </c>
      <c r="P127" t="s">
        <v>151</v>
      </c>
      <c r="Q127" t="s">
        <v>151</v>
      </c>
      <c r="S127" t="str">
        <f t="shared" si="2"/>
        <v>CHOLAFIN</v>
      </c>
      <c r="T127" t="str">
        <f t="shared" si="3"/>
        <v>CHOLAFIN</v>
      </c>
    </row>
    <row r="128" spans="1:20">
      <c r="A128" t="s">
        <v>301</v>
      </c>
      <c r="B128" t="s">
        <v>124</v>
      </c>
      <c r="C128" t="s">
        <v>124</v>
      </c>
      <c r="D128">
        <v>125</v>
      </c>
      <c r="E128">
        <v>125</v>
      </c>
      <c r="F128">
        <v>125</v>
      </c>
      <c r="G128" t="s">
        <v>151</v>
      </c>
      <c r="I128" t="s">
        <v>151</v>
      </c>
      <c r="J128" t="s">
        <v>151</v>
      </c>
      <c r="K128" t="s">
        <v>151</v>
      </c>
      <c r="L128" t="s">
        <v>151</v>
      </c>
      <c r="M128" t="s">
        <v>151</v>
      </c>
      <c r="N128" t="s">
        <v>151</v>
      </c>
      <c r="O128" t="s">
        <v>151</v>
      </c>
      <c r="P128" t="s">
        <v>151</v>
      </c>
      <c r="Q128" t="s">
        <v>151</v>
      </c>
      <c r="S128" t="str">
        <f t="shared" si="2"/>
        <v>DRREDDY</v>
      </c>
      <c r="T128" t="str">
        <f t="shared" si="3"/>
        <v>DRREDDY</v>
      </c>
    </row>
    <row r="129" spans="1:20">
      <c r="A129" t="s">
        <v>302</v>
      </c>
      <c r="B129" t="s">
        <v>429</v>
      </c>
      <c r="C129" t="s">
        <v>429</v>
      </c>
      <c r="D129">
        <v>350</v>
      </c>
      <c r="E129">
        <v>350</v>
      </c>
      <c r="F129">
        <v>350</v>
      </c>
      <c r="G129" t="s">
        <v>151</v>
      </c>
      <c r="I129" t="s">
        <v>151</v>
      </c>
      <c r="J129" t="s">
        <v>151</v>
      </c>
      <c r="K129" t="s">
        <v>151</v>
      </c>
      <c r="L129" t="s">
        <v>151</v>
      </c>
      <c r="M129" t="s">
        <v>151</v>
      </c>
      <c r="N129" t="s">
        <v>151</v>
      </c>
      <c r="O129" t="s">
        <v>151</v>
      </c>
      <c r="P129" t="s">
        <v>151</v>
      </c>
      <c r="Q129" t="s">
        <v>151</v>
      </c>
      <c r="S129" t="str">
        <f t="shared" si="2"/>
        <v>EICHERMOT</v>
      </c>
      <c r="T129" t="str">
        <f t="shared" si="3"/>
        <v>EICHERMOT</v>
      </c>
    </row>
    <row r="130" spans="1:20">
      <c r="A130" t="s">
        <v>303</v>
      </c>
      <c r="B130" t="s">
        <v>430</v>
      </c>
      <c r="C130" t="s">
        <v>430</v>
      </c>
      <c r="D130">
        <v>22500</v>
      </c>
      <c r="E130">
        <v>22500</v>
      </c>
      <c r="F130">
        <v>22500</v>
      </c>
      <c r="G130" t="s">
        <v>151</v>
      </c>
      <c r="I130" t="s">
        <v>151</v>
      </c>
      <c r="J130" t="s">
        <v>151</v>
      </c>
      <c r="K130" t="s">
        <v>151</v>
      </c>
      <c r="L130" t="s">
        <v>151</v>
      </c>
      <c r="M130" t="s">
        <v>151</v>
      </c>
      <c r="N130" t="s">
        <v>151</v>
      </c>
      <c r="O130" t="s">
        <v>151</v>
      </c>
      <c r="P130" t="s">
        <v>151</v>
      </c>
      <c r="Q130" t="s">
        <v>151</v>
      </c>
      <c r="S130" t="str">
        <f t="shared" si="2"/>
        <v>GMRINFRA</v>
      </c>
      <c r="T130" t="str">
        <f t="shared" si="3"/>
        <v>GMRINFRA</v>
      </c>
    </row>
    <row r="131" spans="1:20">
      <c r="A131" t="s">
        <v>304</v>
      </c>
      <c r="B131" t="s">
        <v>431</v>
      </c>
      <c r="C131" t="s">
        <v>431</v>
      </c>
      <c r="D131">
        <v>275</v>
      </c>
      <c r="E131">
        <v>275</v>
      </c>
      <c r="F131">
        <v>275</v>
      </c>
      <c r="G131" t="s">
        <v>151</v>
      </c>
      <c r="I131" t="s">
        <v>151</v>
      </c>
      <c r="J131" t="s">
        <v>151</v>
      </c>
      <c r="K131" t="s">
        <v>151</v>
      </c>
      <c r="L131" t="s">
        <v>151</v>
      </c>
      <c r="M131" t="s">
        <v>151</v>
      </c>
      <c r="N131" t="s">
        <v>151</v>
      </c>
      <c r="O131" t="s">
        <v>151</v>
      </c>
      <c r="P131" t="s">
        <v>151</v>
      </c>
      <c r="Q131" t="s">
        <v>151</v>
      </c>
      <c r="S131" t="str">
        <f t="shared" ref="S131:S177" si="4">TRIM(B131)</f>
        <v>PEL</v>
      </c>
      <c r="T131" t="str">
        <f t="shared" ref="T131:T177" si="5">TRIM(C131)</f>
        <v>PEL</v>
      </c>
    </row>
    <row r="132" spans="1:20">
      <c r="A132" t="s">
        <v>305</v>
      </c>
      <c r="B132" t="s">
        <v>18</v>
      </c>
      <c r="C132" t="s">
        <v>18</v>
      </c>
      <c r="D132">
        <v>6200</v>
      </c>
      <c r="E132">
        <v>6200</v>
      </c>
      <c r="F132">
        <v>6200</v>
      </c>
      <c r="G132" t="s">
        <v>151</v>
      </c>
      <c r="I132" t="s">
        <v>151</v>
      </c>
      <c r="J132" t="s">
        <v>151</v>
      </c>
      <c r="K132" t="s">
        <v>151</v>
      </c>
      <c r="L132" t="s">
        <v>151</v>
      </c>
      <c r="M132" t="s">
        <v>151</v>
      </c>
      <c r="N132" t="s">
        <v>151</v>
      </c>
      <c r="O132" t="s">
        <v>151</v>
      </c>
      <c r="P132" t="s">
        <v>151</v>
      </c>
      <c r="Q132" t="s">
        <v>151</v>
      </c>
      <c r="S132" t="str">
        <f t="shared" si="4"/>
        <v>PFC</v>
      </c>
      <c r="T132" t="str">
        <f t="shared" si="5"/>
        <v>PFC</v>
      </c>
    </row>
    <row r="133" spans="1:20">
      <c r="A133" t="s">
        <v>306</v>
      </c>
      <c r="B133" t="s">
        <v>432</v>
      </c>
      <c r="C133" t="s">
        <v>432</v>
      </c>
      <c r="D133">
        <v>1375</v>
      </c>
      <c r="E133">
        <v>1375</v>
      </c>
      <c r="F133">
        <v>1375</v>
      </c>
      <c r="G133" t="s">
        <v>151</v>
      </c>
      <c r="I133" t="s">
        <v>151</v>
      </c>
      <c r="J133" t="s">
        <v>151</v>
      </c>
      <c r="K133" t="s">
        <v>151</v>
      </c>
      <c r="L133" t="s">
        <v>151</v>
      </c>
      <c r="M133" t="s">
        <v>151</v>
      </c>
      <c r="N133" t="s">
        <v>151</v>
      </c>
      <c r="O133" t="s">
        <v>151</v>
      </c>
      <c r="P133" t="s">
        <v>151</v>
      </c>
      <c r="Q133" t="s">
        <v>151</v>
      </c>
      <c r="S133" t="str">
        <f t="shared" si="4"/>
        <v>IGL</v>
      </c>
      <c r="T133" t="str">
        <f t="shared" si="5"/>
        <v>IGL</v>
      </c>
    </row>
    <row r="134" spans="1:20">
      <c r="A134" t="s">
        <v>307</v>
      </c>
      <c r="B134" t="s">
        <v>433</v>
      </c>
      <c r="C134" t="s">
        <v>433</v>
      </c>
      <c r="D134">
        <v>6000</v>
      </c>
      <c r="E134">
        <v>6000</v>
      </c>
      <c r="F134">
        <v>6000</v>
      </c>
      <c r="G134" t="s">
        <v>151</v>
      </c>
      <c r="I134" t="s">
        <v>151</v>
      </c>
      <c r="J134" t="s">
        <v>151</v>
      </c>
      <c r="K134" t="s">
        <v>151</v>
      </c>
      <c r="L134" t="s">
        <v>151</v>
      </c>
      <c r="M134" t="s">
        <v>151</v>
      </c>
      <c r="N134" t="s">
        <v>151</v>
      </c>
      <c r="O134" t="s">
        <v>151</v>
      </c>
      <c r="P134" t="s">
        <v>151</v>
      </c>
      <c r="Q134" t="s">
        <v>151</v>
      </c>
      <c r="S134" t="str">
        <f t="shared" si="4"/>
        <v>RECLTD</v>
      </c>
      <c r="T134" t="str">
        <f t="shared" si="5"/>
        <v>RECLTD</v>
      </c>
    </row>
    <row r="135" spans="1:20">
      <c r="A135" t="s">
        <v>308</v>
      </c>
      <c r="B135" t="s">
        <v>434</v>
      </c>
      <c r="C135" t="s">
        <v>434</v>
      </c>
      <c r="D135">
        <v>1600</v>
      </c>
      <c r="E135">
        <v>1600</v>
      </c>
      <c r="F135">
        <v>1600</v>
      </c>
      <c r="G135" t="s">
        <v>151</v>
      </c>
      <c r="I135" t="s">
        <v>151</v>
      </c>
      <c r="J135" t="s">
        <v>151</v>
      </c>
      <c r="K135" t="s">
        <v>151</v>
      </c>
      <c r="L135" t="s">
        <v>151</v>
      </c>
      <c r="M135" t="s">
        <v>151</v>
      </c>
      <c r="N135" t="s">
        <v>151</v>
      </c>
      <c r="O135" t="s">
        <v>151</v>
      </c>
      <c r="P135" t="s">
        <v>151</v>
      </c>
      <c r="Q135" t="s">
        <v>151</v>
      </c>
      <c r="S135" t="str">
        <f t="shared" si="4"/>
        <v>NAM-INDIA</v>
      </c>
      <c r="T135" t="str">
        <f t="shared" si="5"/>
        <v>NAM-INDIA</v>
      </c>
    </row>
    <row r="136" spans="1:20">
      <c r="A136" t="s">
        <v>309</v>
      </c>
      <c r="B136" t="s">
        <v>435</v>
      </c>
      <c r="C136" t="s">
        <v>435</v>
      </c>
      <c r="D136">
        <v>25</v>
      </c>
      <c r="E136">
        <v>25</v>
      </c>
      <c r="F136">
        <v>25</v>
      </c>
      <c r="G136" t="s">
        <v>151</v>
      </c>
      <c r="I136" t="s">
        <v>151</v>
      </c>
      <c r="J136" t="s">
        <v>151</v>
      </c>
      <c r="K136" t="s">
        <v>151</v>
      </c>
      <c r="L136" t="s">
        <v>151</v>
      </c>
      <c r="M136" t="s">
        <v>151</v>
      </c>
      <c r="N136" t="s">
        <v>151</v>
      </c>
      <c r="O136" t="s">
        <v>151</v>
      </c>
      <c r="P136" t="s">
        <v>151</v>
      </c>
      <c r="Q136" t="s">
        <v>151</v>
      </c>
      <c r="S136" t="str">
        <f t="shared" si="4"/>
        <v>SHREECEM</v>
      </c>
      <c r="T136" t="str">
        <f t="shared" si="5"/>
        <v>SHREECEM</v>
      </c>
    </row>
    <row r="137" spans="1:20">
      <c r="A137" t="s">
        <v>310</v>
      </c>
      <c r="B137" t="s">
        <v>436</v>
      </c>
      <c r="C137" t="s">
        <v>436</v>
      </c>
      <c r="D137">
        <v>675</v>
      </c>
      <c r="E137">
        <v>675</v>
      </c>
      <c r="F137">
        <v>675</v>
      </c>
      <c r="G137" t="s">
        <v>151</v>
      </c>
      <c r="I137" t="s">
        <v>151</v>
      </c>
      <c r="J137" t="s">
        <v>151</v>
      </c>
      <c r="K137" t="s">
        <v>151</v>
      </c>
      <c r="L137" t="s">
        <v>151</v>
      </c>
      <c r="M137" t="s">
        <v>151</v>
      </c>
      <c r="N137" t="s">
        <v>151</v>
      </c>
      <c r="O137" t="s">
        <v>151</v>
      </c>
      <c r="P137" t="s">
        <v>151</v>
      </c>
      <c r="Q137" t="s">
        <v>151</v>
      </c>
      <c r="S137" t="str">
        <f t="shared" si="4"/>
        <v>STAR</v>
      </c>
      <c r="T137" t="str">
        <f t="shared" si="5"/>
        <v>STAR</v>
      </c>
    </row>
    <row r="138" spans="1:20">
      <c r="A138" t="s">
        <v>311</v>
      </c>
      <c r="B138" t="s">
        <v>130</v>
      </c>
      <c r="C138" t="s">
        <v>130</v>
      </c>
      <c r="D138">
        <v>6750</v>
      </c>
      <c r="E138">
        <v>6750</v>
      </c>
      <c r="F138">
        <v>6750</v>
      </c>
      <c r="G138" t="s">
        <v>151</v>
      </c>
      <c r="I138" t="s">
        <v>151</v>
      </c>
      <c r="J138" t="s">
        <v>151</v>
      </c>
      <c r="K138" t="s">
        <v>151</v>
      </c>
      <c r="L138" t="s">
        <v>151</v>
      </c>
      <c r="M138" t="s">
        <v>151</v>
      </c>
      <c r="N138" t="s">
        <v>151</v>
      </c>
      <c r="O138" t="s">
        <v>151</v>
      </c>
      <c r="P138" t="s">
        <v>151</v>
      </c>
      <c r="Q138" t="s">
        <v>151</v>
      </c>
      <c r="S138" t="str">
        <f t="shared" si="4"/>
        <v>TATAPOWER</v>
      </c>
      <c r="T138" t="str">
        <f t="shared" si="5"/>
        <v>TATAPOWER</v>
      </c>
    </row>
    <row r="139" spans="1:20">
      <c r="A139" t="s">
        <v>312</v>
      </c>
      <c r="B139" t="s">
        <v>437</v>
      </c>
      <c r="C139" t="s">
        <v>437</v>
      </c>
      <c r="D139">
        <v>16000</v>
      </c>
      <c r="E139">
        <v>16000</v>
      </c>
      <c r="F139">
        <v>16000</v>
      </c>
      <c r="G139" t="s">
        <v>151</v>
      </c>
      <c r="I139" t="s">
        <v>151</v>
      </c>
      <c r="J139" t="s">
        <v>151</v>
      </c>
      <c r="K139" t="s">
        <v>151</v>
      </c>
      <c r="L139" t="s">
        <v>151</v>
      </c>
      <c r="M139" t="s">
        <v>151</v>
      </c>
      <c r="N139" t="s">
        <v>151</v>
      </c>
      <c r="O139" t="s">
        <v>151</v>
      </c>
      <c r="P139" t="s">
        <v>151</v>
      </c>
      <c r="Q139" t="s">
        <v>151</v>
      </c>
      <c r="S139" t="str">
        <f t="shared" si="4"/>
        <v>PNB</v>
      </c>
      <c r="T139" t="str">
        <f t="shared" si="5"/>
        <v>PNB</v>
      </c>
    </row>
    <row r="140" spans="1:20">
      <c r="A140" t="s">
        <v>313</v>
      </c>
      <c r="B140" t="s">
        <v>438</v>
      </c>
      <c r="C140" t="s">
        <v>438</v>
      </c>
      <c r="D140">
        <v>725</v>
      </c>
      <c r="E140">
        <v>725</v>
      </c>
      <c r="F140">
        <v>725</v>
      </c>
      <c r="G140" t="s">
        <v>151</v>
      </c>
      <c r="I140" t="s">
        <v>151</v>
      </c>
      <c r="J140" t="s">
        <v>151</v>
      </c>
      <c r="K140" t="s">
        <v>151</v>
      </c>
      <c r="L140" t="s">
        <v>151</v>
      </c>
      <c r="M140" t="s">
        <v>151</v>
      </c>
      <c r="N140" t="s">
        <v>151</v>
      </c>
      <c r="O140" t="s">
        <v>151</v>
      </c>
      <c r="P140" t="s">
        <v>151</v>
      </c>
      <c r="Q140" t="s">
        <v>151</v>
      </c>
      <c r="S140" t="str">
        <f t="shared" si="4"/>
        <v>TRENT</v>
      </c>
      <c r="T140" t="str">
        <f t="shared" si="5"/>
        <v>TRENT</v>
      </c>
    </row>
    <row r="141" spans="1:20">
      <c r="A141" t="s">
        <v>314</v>
      </c>
      <c r="B141" t="s">
        <v>315</v>
      </c>
      <c r="C141" t="s">
        <v>315</v>
      </c>
      <c r="D141">
        <v>400</v>
      </c>
      <c r="E141">
        <v>400</v>
      </c>
      <c r="F141">
        <v>400</v>
      </c>
      <c r="G141" t="s">
        <v>151</v>
      </c>
      <c r="I141" t="s">
        <v>151</v>
      </c>
      <c r="J141" t="s">
        <v>151</v>
      </c>
      <c r="K141" t="s">
        <v>151</v>
      </c>
      <c r="L141" t="s">
        <v>151</v>
      </c>
      <c r="M141" t="s">
        <v>151</v>
      </c>
      <c r="N141" t="s">
        <v>151</v>
      </c>
      <c r="O141" t="s">
        <v>151</v>
      </c>
      <c r="P141" t="s">
        <v>151</v>
      </c>
      <c r="Q141" t="s">
        <v>151</v>
      </c>
      <c r="S141" t="str">
        <f t="shared" si="4"/>
        <v>SRTRANSFIN</v>
      </c>
      <c r="T141" t="str">
        <f t="shared" si="5"/>
        <v>SRTRANSFIN</v>
      </c>
    </row>
    <row r="142" spans="1:20">
      <c r="A142" t="s">
        <v>316</v>
      </c>
      <c r="B142" t="s">
        <v>317</v>
      </c>
      <c r="C142" t="s">
        <v>317</v>
      </c>
      <c r="D142">
        <v>1350</v>
      </c>
      <c r="E142">
        <v>1350</v>
      </c>
      <c r="F142">
        <v>1350</v>
      </c>
      <c r="G142" t="s">
        <v>151</v>
      </c>
      <c r="I142" t="s">
        <v>151</v>
      </c>
      <c r="J142" t="s">
        <v>151</v>
      </c>
      <c r="K142" t="s">
        <v>151</v>
      </c>
      <c r="L142" t="s">
        <v>151</v>
      </c>
      <c r="M142" t="s">
        <v>151</v>
      </c>
      <c r="N142" t="s">
        <v>151</v>
      </c>
      <c r="O142" t="s">
        <v>151</v>
      </c>
      <c r="P142" t="s">
        <v>151</v>
      </c>
      <c r="Q142" t="s">
        <v>151</v>
      </c>
      <c r="S142" t="str">
        <f t="shared" si="4"/>
        <v>TATACONSUM</v>
      </c>
      <c r="T142" t="str">
        <f t="shared" si="5"/>
        <v>TATACONSUM</v>
      </c>
    </row>
    <row r="143" spans="1:20">
      <c r="A143" t="s">
        <v>318</v>
      </c>
      <c r="B143" t="s">
        <v>319</v>
      </c>
      <c r="C143" t="s">
        <v>319</v>
      </c>
      <c r="D143">
        <v>250</v>
      </c>
      <c r="E143">
        <v>250</v>
      </c>
      <c r="F143">
        <v>250</v>
      </c>
      <c r="G143" t="s">
        <v>151</v>
      </c>
      <c r="I143" t="s">
        <v>151</v>
      </c>
      <c r="J143" t="s">
        <v>151</v>
      </c>
      <c r="K143" t="s">
        <v>151</v>
      </c>
      <c r="L143" t="s">
        <v>151</v>
      </c>
      <c r="M143" t="s">
        <v>151</v>
      </c>
      <c r="N143" t="s">
        <v>151</v>
      </c>
      <c r="O143" t="s">
        <v>151</v>
      </c>
      <c r="P143" t="s">
        <v>151</v>
      </c>
      <c r="Q143" t="s">
        <v>151</v>
      </c>
      <c r="S143" t="str">
        <f t="shared" si="4"/>
        <v>TORNTPHARM</v>
      </c>
      <c r="T143" t="str">
        <f t="shared" si="5"/>
        <v>TORNTPHARM</v>
      </c>
    </row>
    <row r="144" spans="1:20">
      <c r="A144" t="s">
        <v>320</v>
      </c>
      <c r="B144" t="s">
        <v>439</v>
      </c>
      <c r="C144" t="s">
        <v>439</v>
      </c>
      <c r="D144">
        <v>700</v>
      </c>
      <c r="E144">
        <v>700</v>
      </c>
      <c r="F144">
        <v>700</v>
      </c>
      <c r="G144" t="s">
        <v>151</v>
      </c>
      <c r="I144" t="s">
        <v>151</v>
      </c>
      <c r="J144" t="s">
        <v>151</v>
      </c>
      <c r="K144" t="s">
        <v>151</v>
      </c>
      <c r="L144" t="s">
        <v>151</v>
      </c>
      <c r="M144" t="s">
        <v>151</v>
      </c>
      <c r="N144" t="s">
        <v>151</v>
      </c>
      <c r="O144" t="s">
        <v>151</v>
      </c>
      <c r="P144" t="s">
        <v>151</v>
      </c>
      <c r="Q144" t="s">
        <v>151</v>
      </c>
      <c r="S144" t="str">
        <f t="shared" si="4"/>
        <v>UBL</v>
      </c>
      <c r="T144" t="str">
        <f t="shared" si="5"/>
        <v>UBL</v>
      </c>
    </row>
    <row r="145" spans="1:20">
      <c r="A145" t="s">
        <v>321</v>
      </c>
      <c r="B145" t="s">
        <v>440</v>
      </c>
      <c r="C145" t="s">
        <v>440</v>
      </c>
      <c r="D145">
        <v>500</v>
      </c>
      <c r="E145">
        <v>500</v>
      </c>
      <c r="F145">
        <v>500</v>
      </c>
      <c r="G145" t="s">
        <v>151</v>
      </c>
      <c r="I145" t="s">
        <v>151</v>
      </c>
      <c r="J145" t="s">
        <v>151</v>
      </c>
      <c r="K145" t="s">
        <v>151</v>
      </c>
      <c r="L145" t="s">
        <v>151</v>
      </c>
      <c r="M145" t="s">
        <v>151</v>
      </c>
      <c r="N145" t="s">
        <v>151</v>
      </c>
      <c r="O145" t="s">
        <v>151</v>
      </c>
      <c r="P145" t="s">
        <v>151</v>
      </c>
      <c r="Q145" t="s">
        <v>151</v>
      </c>
      <c r="S145" t="str">
        <f t="shared" si="4"/>
        <v>VOLTAS</v>
      </c>
      <c r="T145" t="str">
        <f t="shared" si="5"/>
        <v>VOLTAS</v>
      </c>
    </row>
    <row r="146" spans="1:20">
      <c r="A146" t="s">
        <v>322</v>
      </c>
      <c r="B146" t="s">
        <v>323</v>
      </c>
      <c r="C146" t="s">
        <v>323</v>
      </c>
      <c r="D146">
        <v>1500</v>
      </c>
      <c r="E146">
        <v>1500</v>
      </c>
      <c r="F146">
        <v>1500</v>
      </c>
      <c r="G146" t="s">
        <v>151</v>
      </c>
      <c r="I146" t="s">
        <v>151</v>
      </c>
      <c r="J146" t="s">
        <v>151</v>
      </c>
      <c r="K146" t="s">
        <v>151</v>
      </c>
      <c r="L146" t="s">
        <v>151</v>
      </c>
      <c r="M146" t="s">
        <v>151</v>
      </c>
      <c r="N146" t="s">
        <v>151</v>
      </c>
      <c r="O146" t="s">
        <v>151</v>
      </c>
      <c r="P146" t="s">
        <v>151</v>
      </c>
      <c r="Q146" t="s">
        <v>151</v>
      </c>
      <c r="S146" t="str">
        <f t="shared" si="4"/>
        <v>BHARATFORG</v>
      </c>
      <c r="T146" t="str">
        <f t="shared" si="5"/>
        <v>BHARATFORG</v>
      </c>
    </row>
    <row r="147" spans="1:20">
      <c r="A147" t="s">
        <v>324</v>
      </c>
      <c r="B147" t="s">
        <v>441</v>
      </c>
      <c r="C147" t="s">
        <v>441</v>
      </c>
      <c r="D147">
        <v>1563</v>
      </c>
      <c r="E147">
        <v>1563</v>
      </c>
      <c r="F147">
        <v>1563</v>
      </c>
      <c r="G147" t="s">
        <v>151</v>
      </c>
      <c r="I147" t="s">
        <v>151</v>
      </c>
      <c r="J147" t="s">
        <v>151</v>
      </c>
      <c r="K147" t="s">
        <v>151</v>
      </c>
      <c r="L147" t="s">
        <v>151</v>
      </c>
      <c r="M147" t="s">
        <v>151</v>
      </c>
      <c r="N147" t="s">
        <v>151</v>
      </c>
      <c r="O147" t="s">
        <v>151</v>
      </c>
      <c r="P147" t="s">
        <v>151</v>
      </c>
      <c r="Q147" t="s">
        <v>151</v>
      </c>
      <c r="S147" t="str">
        <f t="shared" si="4"/>
        <v>CONCOR</v>
      </c>
      <c r="T147" t="str">
        <f t="shared" si="5"/>
        <v>CONCOR</v>
      </c>
    </row>
    <row r="148" spans="1:20">
      <c r="A148" t="s">
        <v>325</v>
      </c>
      <c r="B148" t="s">
        <v>442</v>
      </c>
      <c r="C148" t="s">
        <v>442</v>
      </c>
      <c r="D148">
        <v>1000</v>
      </c>
      <c r="E148">
        <v>1000</v>
      </c>
      <c r="F148">
        <v>1000</v>
      </c>
      <c r="G148" t="s">
        <v>151</v>
      </c>
      <c r="I148" t="s">
        <v>151</v>
      </c>
      <c r="J148" t="s">
        <v>151</v>
      </c>
      <c r="K148" t="s">
        <v>151</v>
      </c>
      <c r="L148" t="s">
        <v>151</v>
      </c>
      <c r="M148" t="s">
        <v>151</v>
      </c>
      <c r="N148" t="s">
        <v>151</v>
      </c>
      <c r="O148" t="s">
        <v>151</v>
      </c>
      <c r="P148" t="s">
        <v>151</v>
      </c>
      <c r="Q148" t="s">
        <v>151</v>
      </c>
      <c r="S148" t="str">
        <f t="shared" si="4"/>
        <v>GODREJCP</v>
      </c>
      <c r="T148" t="str">
        <f t="shared" si="5"/>
        <v>GODREJCP</v>
      </c>
    </row>
    <row r="149" spans="1:20">
      <c r="A149" t="s">
        <v>326</v>
      </c>
      <c r="B149" t="s">
        <v>443</v>
      </c>
      <c r="C149" t="s">
        <v>443</v>
      </c>
      <c r="D149">
        <v>500</v>
      </c>
      <c r="E149">
        <v>500</v>
      </c>
      <c r="F149">
        <v>500</v>
      </c>
      <c r="G149" t="s">
        <v>151</v>
      </c>
      <c r="I149" t="s">
        <v>151</v>
      </c>
      <c r="J149" t="s">
        <v>151</v>
      </c>
      <c r="K149" t="s">
        <v>151</v>
      </c>
      <c r="L149" t="s">
        <v>151</v>
      </c>
      <c r="M149" t="s">
        <v>151</v>
      </c>
      <c r="N149" t="s">
        <v>151</v>
      </c>
      <c r="O149" t="s">
        <v>151</v>
      </c>
      <c r="P149" t="s">
        <v>151</v>
      </c>
      <c r="Q149" t="s">
        <v>151</v>
      </c>
      <c r="S149" t="str">
        <f t="shared" si="4"/>
        <v>HAVELLS</v>
      </c>
      <c r="T149" t="str">
        <f t="shared" si="5"/>
        <v>HAVELLS</v>
      </c>
    </row>
    <row r="150" spans="1:20">
      <c r="A150" t="s">
        <v>327</v>
      </c>
      <c r="B150" t="s">
        <v>328</v>
      </c>
      <c r="C150" t="s">
        <v>328</v>
      </c>
      <c r="D150">
        <v>2800</v>
      </c>
      <c r="E150">
        <v>2800</v>
      </c>
      <c r="F150">
        <v>2800</v>
      </c>
      <c r="G150" t="s">
        <v>151</v>
      </c>
      <c r="I150" t="s">
        <v>151</v>
      </c>
      <c r="J150" t="s">
        <v>151</v>
      </c>
      <c r="K150" t="s">
        <v>151</v>
      </c>
      <c r="L150" t="s">
        <v>151</v>
      </c>
      <c r="M150" t="s">
        <v>151</v>
      </c>
      <c r="N150" t="s">
        <v>151</v>
      </c>
      <c r="O150" t="s">
        <v>151</v>
      </c>
      <c r="P150" t="s">
        <v>151</v>
      </c>
      <c r="Q150" t="s">
        <v>151</v>
      </c>
      <c r="S150" t="str">
        <f t="shared" si="4"/>
        <v>INDUSTOWER</v>
      </c>
      <c r="T150" t="str">
        <f t="shared" si="5"/>
        <v>INDUSTOWER</v>
      </c>
    </row>
    <row r="151" spans="1:20">
      <c r="A151" t="s">
        <v>329</v>
      </c>
      <c r="B151" t="s">
        <v>106</v>
      </c>
      <c r="C151" t="s">
        <v>106</v>
      </c>
      <c r="D151">
        <v>400</v>
      </c>
      <c r="E151">
        <v>400</v>
      </c>
      <c r="F151">
        <v>400</v>
      </c>
      <c r="G151" t="s">
        <v>151</v>
      </c>
      <c r="I151" t="s">
        <v>151</v>
      </c>
      <c r="J151" t="s">
        <v>151</v>
      </c>
      <c r="K151" t="s">
        <v>151</v>
      </c>
      <c r="L151" t="s">
        <v>151</v>
      </c>
      <c r="M151" t="s">
        <v>151</v>
      </c>
      <c r="N151" t="s">
        <v>151</v>
      </c>
      <c r="O151" t="s">
        <v>151</v>
      </c>
      <c r="P151" t="s">
        <v>151</v>
      </c>
      <c r="Q151" t="s">
        <v>151</v>
      </c>
      <c r="S151" t="str">
        <f t="shared" si="4"/>
        <v>KOTAKBANK</v>
      </c>
      <c r="T151" t="str">
        <f t="shared" si="5"/>
        <v>KOTAKBANK</v>
      </c>
    </row>
    <row r="152" spans="1:20">
      <c r="A152" t="s">
        <v>330</v>
      </c>
      <c r="B152" t="s">
        <v>444</v>
      </c>
      <c r="C152" t="s">
        <v>444</v>
      </c>
      <c r="D152">
        <v>8924</v>
      </c>
      <c r="E152">
        <v>8924</v>
      </c>
      <c r="F152">
        <v>8924</v>
      </c>
      <c r="G152" t="s">
        <v>151</v>
      </c>
      <c r="I152" t="s">
        <v>151</v>
      </c>
      <c r="J152" t="s">
        <v>151</v>
      </c>
      <c r="K152" t="s">
        <v>151</v>
      </c>
      <c r="L152" t="s">
        <v>151</v>
      </c>
      <c r="M152" t="s">
        <v>151</v>
      </c>
      <c r="N152" t="s">
        <v>151</v>
      </c>
      <c r="O152" t="s">
        <v>151</v>
      </c>
      <c r="P152" t="s">
        <v>151</v>
      </c>
      <c r="Q152" t="s">
        <v>151</v>
      </c>
      <c r="S152" t="str">
        <f t="shared" si="4"/>
        <v>L&amp;TFH</v>
      </c>
      <c r="T152" t="str">
        <f t="shared" si="5"/>
        <v>L&amp;TFH</v>
      </c>
    </row>
    <row r="153" spans="1:20">
      <c r="A153" t="s">
        <v>331</v>
      </c>
      <c r="B153" t="s">
        <v>445</v>
      </c>
      <c r="C153" t="s">
        <v>445</v>
      </c>
      <c r="D153">
        <v>700</v>
      </c>
      <c r="E153">
        <v>700</v>
      </c>
      <c r="F153">
        <v>700</v>
      </c>
      <c r="G153" t="s">
        <v>151</v>
      </c>
      <c r="I153" t="s">
        <v>151</v>
      </c>
      <c r="J153" t="s">
        <v>151</v>
      </c>
      <c r="K153" t="s">
        <v>151</v>
      </c>
      <c r="L153" t="s">
        <v>151</v>
      </c>
      <c r="M153" t="s">
        <v>151</v>
      </c>
      <c r="N153" t="s">
        <v>151</v>
      </c>
      <c r="O153" t="s">
        <v>151</v>
      </c>
      <c r="P153" t="s">
        <v>151</v>
      </c>
      <c r="Q153" t="s">
        <v>151</v>
      </c>
      <c r="S153" t="str">
        <f t="shared" si="4"/>
        <v>M&amp;M</v>
      </c>
      <c r="T153" t="str">
        <f t="shared" si="5"/>
        <v>M&amp;M</v>
      </c>
    </row>
    <row r="154" spans="1:20">
      <c r="A154" t="s">
        <v>332</v>
      </c>
      <c r="B154" t="s">
        <v>446</v>
      </c>
      <c r="C154" t="s">
        <v>446</v>
      </c>
      <c r="D154">
        <v>3600</v>
      </c>
      <c r="E154">
        <v>3600</v>
      </c>
      <c r="F154">
        <v>3600</v>
      </c>
      <c r="G154" t="s">
        <v>151</v>
      </c>
      <c r="I154" t="s">
        <v>151</v>
      </c>
      <c r="J154" t="s">
        <v>151</v>
      </c>
      <c r="K154" t="s">
        <v>151</v>
      </c>
      <c r="L154" t="s">
        <v>151</v>
      </c>
      <c r="M154" t="s">
        <v>151</v>
      </c>
      <c r="N154" t="s">
        <v>151</v>
      </c>
      <c r="O154" t="s">
        <v>151</v>
      </c>
      <c r="P154" t="s">
        <v>151</v>
      </c>
      <c r="Q154" t="s">
        <v>151</v>
      </c>
      <c r="S154" t="str">
        <f t="shared" si="4"/>
        <v>EXIDEIND</v>
      </c>
      <c r="T154" t="str">
        <f t="shared" si="5"/>
        <v>EXIDEIND</v>
      </c>
    </row>
    <row r="155" spans="1:20">
      <c r="A155" t="s">
        <v>333</v>
      </c>
      <c r="B155" t="s">
        <v>447</v>
      </c>
      <c r="C155" t="s">
        <v>447</v>
      </c>
      <c r="D155">
        <v>325</v>
      </c>
      <c r="E155">
        <v>325</v>
      </c>
      <c r="F155">
        <v>325</v>
      </c>
      <c r="G155" t="s">
        <v>151</v>
      </c>
      <c r="I155" t="s">
        <v>151</v>
      </c>
      <c r="J155" t="s">
        <v>151</v>
      </c>
      <c r="K155" t="s">
        <v>151</v>
      </c>
      <c r="L155" t="s">
        <v>151</v>
      </c>
      <c r="M155" t="s">
        <v>151</v>
      </c>
      <c r="N155" t="s">
        <v>151</v>
      </c>
      <c r="O155" t="s">
        <v>151</v>
      </c>
      <c r="P155" t="s">
        <v>151</v>
      </c>
      <c r="Q155" t="s">
        <v>151</v>
      </c>
      <c r="S155" t="str">
        <f t="shared" si="4"/>
        <v>MPHASIS</v>
      </c>
      <c r="T155" t="str">
        <f t="shared" si="5"/>
        <v>MPHASIS</v>
      </c>
    </row>
    <row r="156" spans="1:20">
      <c r="A156" t="s">
        <v>334</v>
      </c>
      <c r="B156" t="s">
        <v>448</v>
      </c>
      <c r="C156" t="s">
        <v>448</v>
      </c>
      <c r="D156">
        <v>3000</v>
      </c>
      <c r="E156">
        <v>3000</v>
      </c>
      <c r="F156">
        <v>3000</v>
      </c>
      <c r="G156" t="s">
        <v>151</v>
      </c>
      <c r="I156" t="s">
        <v>151</v>
      </c>
      <c r="J156" t="s">
        <v>151</v>
      </c>
      <c r="K156" t="s">
        <v>151</v>
      </c>
      <c r="L156" t="s">
        <v>151</v>
      </c>
      <c r="M156" t="s">
        <v>151</v>
      </c>
      <c r="N156" t="s">
        <v>151</v>
      </c>
      <c r="O156" t="s">
        <v>151</v>
      </c>
      <c r="P156" t="s">
        <v>151</v>
      </c>
      <c r="Q156" t="s">
        <v>151</v>
      </c>
      <c r="S156" t="str">
        <f t="shared" si="4"/>
        <v>PETRONET</v>
      </c>
      <c r="T156" t="str">
        <f t="shared" si="5"/>
        <v>PETRONET</v>
      </c>
    </row>
    <row r="157" spans="1:20">
      <c r="A157" t="s">
        <v>335</v>
      </c>
      <c r="B157" t="s">
        <v>449</v>
      </c>
      <c r="C157" t="s">
        <v>449</v>
      </c>
      <c r="D157">
        <v>407</v>
      </c>
      <c r="E157">
        <v>407</v>
      </c>
      <c r="F157">
        <v>407</v>
      </c>
      <c r="G157" t="s">
        <v>151</v>
      </c>
      <c r="I157" t="s">
        <v>151</v>
      </c>
      <c r="J157" t="s">
        <v>151</v>
      </c>
      <c r="K157" t="s">
        <v>151</v>
      </c>
      <c r="L157" t="s">
        <v>151</v>
      </c>
      <c r="M157" t="s">
        <v>151</v>
      </c>
      <c r="N157" t="s">
        <v>151</v>
      </c>
      <c r="O157" t="s">
        <v>151</v>
      </c>
      <c r="P157" t="s">
        <v>151</v>
      </c>
      <c r="Q157" t="s">
        <v>151</v>
      </c>
      <c r="S157" t="str">
        <f t="shared" si="4"/>
        <v>PVR</v>
      </c>
      <c r="T157" t="str">
        <f t="shared" si="5"/>
        <v>PVR</v>
      </c>
    </row>
    <row r="158" spans="1:20">
      <c r="A158" t="s">
        <v>336</v>
      </c>
      <c r="B158" t="s">
        <v>450</v>
      </c>
      <c r="C158" t="s">
        <v>450</v>
      </c>
      <c r="D158">
        <v>275</v>
      </c>
      <c r="E158">
        <v>275</v>
      </c>
      <c r="F158">
        <v>275</v>
      </c>
      <c r="G158" t="s">
        <v>151</v>
      </c>
      <c r="I158" t="s">
        <v>151</v>
      </c>
      <c r="J158" t="s">
        <v>151</v>
      </c>
      <c r="K158" t="s">
        <v>151</v>
      </c>
      <c r="L158" t="s">
        <v>151</v>
      </c>
      <c r="M158" t="s">
        <v>151</v>
      </c>
      <c r="N158" t="s">
        <v>151</v>
      </c>
      <c r="O158" t="s">
        <v>151</v>
      </c>
      <c r="P158" t="s">
        <v>151</v>
      </c>
      <c r="Q158" t="s">
        <v>151</v>
      </c>
      <c r="S158" t="str">
        <f t="shared" si="4"/>
        <v>SIEMENS</v>
      </c>
      <c r="T158" t="str">
        <f t="shared" si="5"/>
        <v>SIEMENS</v>
      </c>
    </row>
    <row r="159" spans="1:20">
      <c r="A159" t="s">
        <v>337</v>
      </c>
      <c r="B159" t="s">
        <v>451</v>
      </c>
      <c r="C159" t="s">
        <v>451</v>
      </c>
      <c r="D159">
        <v>1600</v>
      </c>
      <c r="E159">
        <v>1600</v>
      </c>
      <c r="F159">
        <v>1600</v>
      </c>
      <c r="G159" t="s">
        <v>151</v>
      </c>
      <c r="I159" t="s">
        <v>151</v>
      </c>
      <c r="J159" t="s">
        <v>151</v>
      </c>
      <c r="K159" t="s">
        <v>151</v>
      </c>
      <c r="L159" t="s">
        <v>151</v>
      </c>
      <c r="M159" t="s">
        <v>151</v>
      </c>
      <c r="N159" t="s">
        <v>151</v>
      </c>
      <c r="O159" t="s">
        <v>151</v>
      </c>
      <c r="P159" t="s">
        <v>151</v>
      </c>
      <c r="Q159" t="s">
        <v>151</v>
      </c>
      <c r="S159" t="str">
        <f t="shared" si="4"/>
        <v>WIPRO</v>
      </c>
      <c r="T159" t="str">
        <f t="shared" si="5"/>
        <v>WIPRO</v>
      </c>
    </row>
    <row r="160" spans="1:20">
      <c r="A160" t="s">
        <v>338</v>
      </c>
      <c r="B160" t="s">
        <v>452</v>
      </c>
      <c r="C160" t="s">
        <v>452</v>
      </c>
      <c r="D160">
        <v>200</v>
      </c>
      <c r="E160">
        <v>200</v>
      </c>
      <c r="F160">
        <v>200</v>
      </c>
      <c r="G160" t="s">
        <v>151</v>
      </c>
      <c r="I160" t="s">
        <v>151</v>
      </c>
      <c r="J160" t="s">
        <v>151</v>
      </c>
      <c r="K160" t="s">
        <v>151</v>
      </c>
      <c r="L160" t="s">
        <v>151</v>
      </c>
      <c r="M160" t="s">
        <v>151</v>
      </c>
      <c r="N160" t="s">
        <v>151</v>
      </c>
      <c r="O160" t="s">
        <v>151</v>
      </c>
      <c r="P160" t="s">
        <v>151</v>
      </c>
      <c r="Q160" t="s">
        <v>151</v>
      </c>
      <c r="S160" t="str">
        <f t="shared" si="4"/>
        <v>COFORGE</v>
      </c>
      <c r="T160" t="str">
        <f t="shared" si="5"/>
        <v>COFORGE</v>
      </c>
    </row>
    <row r="161" spans="1:20">
      <c r="A161" t="s">
        <v>339</v>
      </c>
      <c r="B161" t="s">
        <v>453</v>
      </c>
      <c r="C161" t="s">
        <v>453</v>
      </c>
      <c r="D161">
        <v>6100</v>
      </c>
      <c r="E161">
        <v>6100</v>
      </c>
      <c r="F161">
        <v>6100</v>
      </c>
      <c r="G161" t="s">
        <v>151</v>
      </c>
      <c r="I161" t="s">
        <v>151</v>
      </c>
      <c r="J161" t="s">
        <v>151</v>
      </c>
      <c r="K161" t="s">
        <v>151</v>
      </c>
      <c r="L161" t="s">
        <v>151</v>
      </c>
      <c r="M161" t="s">
        <v>151</v>
      </c>
      <c r="N161" t="s">
        <v>151</v>
      </c>
      <c r="O161" t="s">
        <v>151</v>
      </c>
      <c r="P161" t="s">
        <v>151</v>
      </c>
      <c r="Q161" t="s">
        <v>151</v>
      </c>
      <c r="S161" t="str">
        <f t="shared" si="4"/>
        <v>GAIL</v>
      </c>
      <c r="T161" t="str">
        <f t="shared" si="5"/>
        <v>GAIL</v>
      </c>
    </row>
    <row r="162" spans="1:20">
      <c r="A162" t="s">
        <v>340</v>
      </c>
      <c r="B162" t="s">
        <v>341</v>
      </c>
      <c r="C162" t="s">
        <v>341</v>
      </c>
      <c r="D162">
        <v>3500</v>
      </c>
      <c r="E162">
        <v>3500</v>
      </c>
      <c r="F162">
        <v>3500</v>
      </c>
      <c r="G162" t="s">
        <v>151</v>
      </c>
      <c r="I162" t="s">
        <v>151</v>
      </c>
      <c r="J162" t="s">
        <v>151</v>
      </c>
      <c r="K162" t="s">
        <v>151</v>
      </c>
      <c r="L162" t="s">
        <v>151</v>
      </c>
      <c r="M162" t="s">
        <v>151</v>
      </c>
      <c r="N162" t="s">
        <v>151</v>
      </c>
      <c r="O162" t="s">
        <v>151</v>
      </c>
      <c r="P162" t="s">
        <v>151</v>
      </c>
      <c r="Q162" t="s">
        <v>151</v>
      </c>
      <c r="S162" t="str">
        <f t="shared" si="4"/>
        <v>MOTHERSUMI</v>
      </c>
      <c r="T162" t="str">
        <f t="shared" si="5"/>
        <v>MOTHERSUMI</v>
      </c>
    </row>
    <row r="163" spans="1:20">
      <c r="A163" t="s">
        <v>342</v>
      </c>
      <c r="B163" t="s">
        <v>454</v>
      </c>
      <c r="C163" t="s">
        <v>454</v>
      </c>
      <c r="D163">
        <v>30</v>
      </c>
      <c r="E163">
        <v>30</v>
      </c>
      <c r="F163">
        <v>30</v>
      </c>
      <c r="G163" t="s">
        <v>151</v>
      </c>
      <c r="I163" t="s">
        <v>151</v>
      </c>
      <c r="J163" t="s">
        <v>151</v>
      </c>
      <c r="K163" t="s">
        <v>151</v>
      </c>
      <c r="L163" t="s">
        <v>151</v>
      </c>
      <c r="M163" t="s">
        <v>151</v>
      </c>
      <c r="N163" t="s">
        <v>151</v>
      </c>
      <c r="O163" t="s">
        <v>151</v>
      </c>
      <c r="P163" t="s">
        <v>151</v>
      </c>
      <c r="Q163" t="s">
        <v>151</v>
      </c>
      <c r="S163" t="str">
        <f t="shared" si="4"/>
        <v>PAGEIND</v>
      </c>
      <c r="T163" t="str">
        <f t="shared" si="5"/>
        <v>PAGEIND</v>
      </c>
    </row>
    <row r="164" spans="1:20">
      <c r="A164" t="s">
        <v>343</v>
      </c>
      <c r="B164" t="s">
        <v>455</v>
      </c>
      <c r="C164" t="s">
        <v>455</v>
      </c>
      <c r="D164">
        <v>850</v>
      </c>
      <c r="E164">
        <v>850</v>
      </c>
      <c r="F164">
        <v>850</v>
      </c>
      <c r="G164" t="s">
        <v>151</v>
      </c>
      <c r="I164" t="s">
        <v>151</v>
      </c>
      <c r="J164" t="s">
        <v>151</v>
      </c>
      <c r="K164" t="s">
        <v>151</v>
      </c>
      <c r="L164" t="s">
        <v>151</v>
      </c>
      <c r="M164" t="s">
        <v>151</v>
      </c>
      <c r="N164" t="s">
        <v>151</v>
      </c>
      <c r="O164" t="s">
        <v>151</v>
      </c>
      <c r="P164" t="s">
        <v>151</v>
      </c>
      <c r="Q164" t="s">
        <v>151</v>
      </c>
      <c r="S164" t="str">
        <f t="shared" si="4"/>
        <v>RAMCOCEM</v>
      </c>
      <c r="T164" t="str">
        <f t="shared" si="5"/>
        <v>RAMCOCEM</v>
      </c>
    </row>
    <row r="165" spans="1:20">
      <c r="A165" t="s">
        <v>344</v>
      </c>
      <c r="B165" t="s">
        <v>345</v>
      </c>
      <c r="C165" t="s">
        <v>345</v>
      </c>
      <c r="D165">
        <v>1500</v>
      </c>
      <c r="E165">
        <v>1500</v>
      </c>
      <c r="F165">
        <v>1500</v>
      </c>
      <c r="G165" t="s">
        <v>151</v>
      </c>
      <c r="I165" t="s">
        <v>151</v>
      </c>
      <c r="J165" t="s">
        <v>151</v>
      </c>
      <c r="K165" t="s">
        <v>151</v>
      </c>
      <c r="L165" t="s">
        <v>151</v>
      </c>
      <c r="M165" t="s">
        <v>151</v>
      </c>
      <c r="N165" t="s">
        <v>151</v>
      </c>
      <c r="O165" t="s">
        <v>151</v>
      </c>
      <c r="P165" t="s">
        <v>151</v>
      </c>
      <c r="Q165" t="s">
        <v>151</v>
      </c>
      <c r="S165" t="str">
        <f t="shared" si="4"/>
        <v>TORNTPOWER</v>
      </c>
      <c r="T165" t="str">
        <f t="shared" si="5"/>
        <v>TORNTPOWER</v>
      </c>
    </row>
    <row r="166" spans="1:20">
      <c r="A166" t="s">
        <v>346</v>
      </c>
      <c r="B166" t="s">
        <v>456</v>
      </c>
      <c r="C166" t="s">
        <v>456</v>
      </c>
      <c r="D166">
        <v>1300</v>
      </c>
      <c r="E166">
        <v>1300</v>
      </c>
      <c r="F166">
        <v>1300</v>
      </c>
      <c r="G166" t="s">
        <v>151</v>
      </c>
      <c r="I166" t="s">
        <v>151</v>
      </c>
      <c r="J166" t="s">
        <v>151</v>
      </c>
      <c r="K166" t="s">
        <v>151</v>
      </c>
      <c r="L166" t="s">
        <v>151</v>
      </c>
      <c r="M166" t="s">
        <v>151</v>
      </c>
      <c r="N166" t="s">
        <v>151</v>
      </c>
      <c r="O166" t="s">
        <v>151</v>
      </c>
      <c r="P166" t="s">
        <v>151</v>
      </c>
      <c r="Q166" t="s">
        <v>151</v>
      </c>
      <c r="S166" t="str">
        <f t="shared" si="4"/>
        <v>UPL</v>
      </c>
      <c r="T166" t="str">
        <f t="shared" si="5"/>
        <v>UPL</v>
      </c>
    </row>
    <row r="167" spans="1:20">
      <c r="A167" t="s">
        <v>347</v>
      </c>
      <c r="B167" t="s">
        <v>92</v>
      </c>
      <c r="C167" t="s">
        <v>92</v>
      </c>
      <c r="D167">
        <v>300</v>
      </c>
      <c r="E167">
        <v>300</v>
      </c>
      <c r="F167">
        <v>300</v>
      </c>
      <c r="G167" t="s">
        <v>151</v>
      </c>
      <c r="I167" t="s">
        <v>151</v>
      </c>
      <c r="J167" t="s">
        <v>151</v>
      </c>
      <c r="K167" t="s">
        <v>151</v>
      </c>
      <c r="L167" t="s">
        <v>151</v>
      </c>
      <c r="M167" t="s">
        <v>151</v>
      </c>
      <c r="N167" t="s">
        <v>151</v>
      </c>
      <c r="O167" t="s">
        <v>151</v>
      </c>
      <c r="P167" t="s">
        <v>151</v>
      </c>
      <c r="Q167" t="s">
        <v>151</v>
      </c>
      <c r="S167" t="str">
        <f t="shared" si="4"/>
        <v>HDFC</v>
      </c>
      <c r="T167" t="str">
        <f t="shared" si="5"/>
        <v>HDFC</v>
      </c>
    </row>
    <row r="168" spans="1:20">
      <c r="A168" t="s">
        <v>348</v>
      </c>
      <c r="B168" t="s">
        <v>349</v>
      </c>
      <c r="C168" t="s">
        <v>349</v>
      </c>
      <c r="D168">
        <v>975</v>
      </c>
      <c r="E168">
        <v>975</v>
      </c>
      <c r="F168">
        <v>975</v>
      </c>
      <c r="G168" t="s">
        <v>151</v>
      </c>
      <c r="I168" t="s">
        <v>151</v>
      </c>
      <c r="J168" t="s">
        <v>151</v>
      </c>
      <c r="K168" t="s">
        <v>151</v>
      </c>
      <c r="L168" t="s">
        <v>151</v>
      </c>
      <c r="M168" t="s">
        <v>151</v>
      </c>
      <c r="N168" t="s">
        <v>151</v>
      </c>
      <c r="O168" t="s">
        <v>151</v>
      </c>
      <c r="P168" t="s">
        <v>151</v>
      </c>
      <c r="Q168" t="s">
        <v>151</v>
      </c>
      <c r="S168" t="str">
        <f t="shared" si="4"/>
        <v>CANFINHOME</v>
      </c>
      <c r="T168" t="str">
        <f t="shared" si="5"/>
        <v>CANFINHOME</v>
      </c>
    </row>
    <row r="169" spans="1:20">
      <c r="A169" t="s">
        <v>350</v>
      </c>
      <c r="B169" t="s">
        <v>457</v>
      </c>
      <c r="C169" t="s">
        <v>457</v>
      </c>
      <c r="D169">
        <v>125</v>
      </c>
      <c r="E169">
        <v>125</v>
      </c>
      <c r="F169">
        <v>125</v>
      </c>
      <c r="G169" t="s">
        <v>151</v>
      </c>
      <c r="I169" t="s">
        <v>151</v>
      </c>
      <c r="J169" t="s">
        <v>151</v>
      </c>
      <c r="K169" t="s">
        <v>151</v>
      </c>
      <c r="L169" t="s">
        <v>151</v>
      </c>
      <c r="M169" t="s">
        <v>151</v>
      </c>
      <c r="N169" t="s">
        <v>151</v>
      </c>
      <c r="O169" t="s">
        <v>151</v>
      </c>
      <c r="P169" t="s">
        <v>151</v>
      </c>
      <c r="Q169" t="s">
        <v>151</v>
      </c>
      <c r="S169" t="str">
        <f t="shared" si="4"/>
        <v>DIXON</v>
      </c>
      <c r="T169" t="str">
        <f t="shared" si="5"/>
        <v>DIXON</v>
      </c>
    </row>
    <row r="170" spans="1:20">
      <c r="A170" t="s">
        <v>351</v>
      </c>
      <c r="B170" t="s">
        <v>458</v>
      </c>
      <c r="C170" t="s">
        <v>458</v>
      </c>
      <c r="D170">
        <v>475</v>
      </c>
      <c r="E170">
        <v>475</v>
      </c>
      <c r="F170">
        <v>475</v>
      </c>
      <c r="G170" t="s">
        <v>151</v>
      </c>
      <c r="I170" t="s">
        <v>151</v>
      </c>
      <c r="J170" t="s">
        <v>151</v>
      </c>
      <c r="K170" t="s">
        <v>151</v>
      </c>
      <c r="L170" t="s">
        <v>151</v>
      </c>
      <c r="M170" t="s">
        <v>151</v>
      </c>
      <c r="N170" t="s">
        <v>151</v>
      </c>
      <c r="O170" t="s">
        <v>151</v>
      </c>
      <c r="P170" t="s">
        <v>151</v>
      </c>
      <c r="Q170" t="s">
        <v>151</v>
      </c>
      <c r="S170" t="str">
        <f t="shared" si="4"/>
        <v>HAL</v>
      </c>
      <c r="T170" t="str">
        <f t="shared" si="5"/>
        <v>HAL</v>
      </c>
    </row>
    <row r="171" spans="1:20">
      <c r="A171" t="s">
        <v>352</v>
      </c>
      <c r="B171" t="s">
        <v>126</v>
      </c>
      <c r="C171" t="s">
        <v>126</v>
      </c>
      <c r="D171">
        <v>1250</v>
      </c>
      <c r="E171">
        <v>1250</v>
      </c>
      <c r="F171">
        <v>1250</v>
      </c>
      <c r="G171" t="s">
        <v>151</v>
      </c>
      <c r="I171" t="s">
        <v>151</v>
      </c>
      <c r="J171" t="s">
        <v>151</v>
      </c>
      <c r="K171" t="s">
        <v>151</v>
      </c>
      <c r="L171" t="s">
        <v>151</v>
      </c>
      <c r="M171" t="s">
        <v>151</v>
      </c>
      <c r="N171" t="s">
        <v>151</v>
      </c>
      <c r="O171" t="s">
        <v>151</v>
      </c>
      <c r="P171" t="s">
        <v>151</v>
      </c>
      <c r="Q171" t="s">
        <v>151</v>
      </c>
      <c r="S171" t="str">
        <f t="shared" si="4"/>
        <v>IEX</v>
      </c>
      <c r="T171" t="str">
        <f t="shared" si="5"/>
        <v>IEX</v>
      </c>
    </row>
    <row r="172" spans="1:20">
      <c r="A172" t="s">
        <v>353</v>
      </c>
      <c r="B172" t="s">
        <v>459</v>
      </c>
      <c r="C172" t="s">
        <v>459</v>
      </c>
      <c r="D172">
        <v>75</v>
      </c>
      <c r="E172">
        <v>75</v>
      </c>
      <c r="F172">
        <v>75</v>
      </c>
      <c r="G172" t="s">
        <v>151</v>
      </c>
      <c r="I172" t="s">
        <v>151</v>
      </c>
      <c r="J172" t="s">
        <v>151</v>
      </c>
      <c r="K172" t="s">
        <v>151</v>
      </c>
      <c r="L172" t="s">
        <v>151</v>
      </c>
      <c r="M172" t="s">
        <v>151</v>
      </c>
      <c r="N172" t="s">
        <v>151</v>
      </c>
      <c r="O172" t="s">
        <v>151</v>
      </c>
      <c r="P172" t="s">
        <v>151</v>
      </c>
      <c r="Q172" t="s">
        <v>151</v>
      </c>
      <c r="S172" t="str">
        <f t="shared" si="4"/>
        <v>INDIAMART</v>
      </c>
      <c r="T172" t="str">
        <f t="shared" si="5"/>
        <v>INDIAMART</v>
      </c>
    </row>
    <row r="173" spans="1:20">
      <c r="A173" t="s">
        <v>354</v>
      </c>
      <c r="B173" t="s">
        <v>460</v>
      </c>
      <c r="C173" t="s">
        <v>460</v>
      </c>
      <c r="D173">
        <v>225</v>
      </c>
      <c r="E173">
        <v>225</v>
      </c>
      <c r="F173">
        <v>225</v>
      </c>
      <c r="G173" t="s">
        <v>151</v>
      </c>
      <c r="I173" t="s">
        <v>151</v>
      </c>
      <c r="J173" t="s">
        <v>151</v>
      </c>
      <c r="K173" t="s">
        <v>151</v>
      </c>
      <c r="L173" t="s">
        <v>151</v>
      </c>
      <c r="M173" t="s">
        <v>151</v>
      </c>
      <c r="N173" t="s">
        <v>151</v>
      </c>
      <c r="O173" t="s">
        <v>151</v>
      </c>
      <c r="P173" t="s">
        <v>151</v>
      </c>
      <c r="Q173" t="s">
        <v>151</v>
      </c>
      <c r="S173" t="str">
        <f t="shared" si="4"/>
        <v>IPCALAB</v>
      </c>
      <c r="T173" t="str">
        <f t="shared" si="5"/>
        <v>IPCALAB</v>
      </c>
    </row>
    <row r="174" spans="1:20">
      <c r="A174" t="s">
        <v>355</v>
      </c>
      <c r="B174" t="s">
        <v>461</v>
      </c>
      <c r="C174" t="s">
        <v>461</v>
      </c>
      <c r="D174">
        <v>350</v>
      </c>
      <c r="E174">
        <v>350</v>
      </c>
      <c r="F174">
        <v>350</v>
      </c>
      <c r="G174" t="s">
        <v>151</v>
      </c>
      <c r="I174" t="s">
        <v>151</v>
      </c>
      <c r="J174" t="s">
        <v>151</v>
      </c>
      <c r="K174" t="s">
        <v>151</v>
      </c>
      <c r="L174" t="s">
        <v>151</v>
      </c>
      <c r="M174" t="s">
        <v>151</v>
      </c>
      <c r="N174" t="s">
        <v>151</v>
      </c>
      <c r="O174" t="s">
        <v>151</v>
      </c>
      <c r="P174" t="s">
        <v>151</v>
      </c>
      <c r="Q174" t="s">
        <v>151</v>
      </c>
      <c r="S174" t="str">
        <f t="shared" si="4"/>
        <v>MCX</v>
      </c>
      <c r="T174" t="str">
        <f t="shared" si="5"/>
        <v>MCX</v>
      </c>
    </row>
    <row r="175" spans="1:20">
      <c r="A175" t="s">
        <v>356</v>
      </c>
      <c r="B175" t="s">
        <v>462</v>
      </c>
      <c r="C175" t="s">
        <v>462</v>
      </c>
      <c r="D175">
        <v>125</v>
      </c>
      <c r="E175">
        <v>125</v>
      </c>
      <c r="F175">
        <v>125</v>
      </c>
      <c r="G175" t="s">
        <v>151</v>
      </c>
      <c r="I175" t="s">
        <v>151</v>
      </c>
      <c r="J175" t="s">
        <v>151</v>
      </c>
      <c r="K175" t="s">
        <v>151</v>
      </c>
      <c r="L175" t="s">
        <v>151</v>
      </c>
      <c r="M175" t="s">
        <v>151</v>
      </c>
      <c r="N175" t="s">
        <v>151</v>
      </c>
      <c r="O175" t="s">
        <v>151</v>
      </c>
      <c r="P175" t="s">
        <v>151</v>
      </c>
      <c r="Q175" t="s">
        <v>151</v>
      </c>
      <c r="S175" t="str">
        <f t="shared" si="4"/>
        <v>OFSS</v>
      </c>
      <c r="T175" t="str">
        <f t="shared" si="5"/>
        <v>OFSS</v>
      </c>
    </row>
    <row r="176" spans="1:20">
      <c r="A176" t="s">
        <v>357</v>
      </c>
      <c r="B176" t="s">
        <v>463</v>
      </c>
      <c r="C176" t="s">
        <v>463</v>
      </c>
      <c r="D176">
        <v>300</v>
      </c>
      <c r="E176">
        <v>300</v>
      </c>
      <c r="F176">
        <v>300</v>
      </c>
      <c r="G176" t="s">
        <v>151</v>
      </c>
      <c r="I176" t="s">
        <v>151</v>
      </c>
      <c r="J176" t="s">
        <v>151</v>
      </c>
      <c r="K176" t="s">
        <v>151</v>
      </c>
      <c r="L176" t="s">
        <v>151</v>
      </c>
      <c r="M176" t="s">
        <v>151</v>
      </c>
      <c r="N176" t="s">
        <v>151</v>
      </c>
      <c r="O176" t="s">
        <v>151</v>
      </c>
      <c r="P176" t="s">
        <v>151</v>
      </c>
      <c r="Q176" t="s">
        <v>151</v>
      </c>
      <c r="S176" t="str">
        <f t="shared" si="4"/>
        <v>POLYCAB</v>
      </c>
      <c r="T176" t="str">
        <f t="shared" si="5"/>
        <v>POLYCAB</v>
      </c>
    </row>
    <row r="177" spans="1:20">
      <c r="A177" t="s">
        <v>358</v>
      </c>
      <c r="B177" t="s">
        <v>464</v>
      </c>
      <c r="C177" t="s">
        <v>464</v>
      </c>
      <c r="D177">
        <v>850</v>
      </c>
      <c r="E177">
        <v>850</v>
      </c>
      <c r="F177">
        <v>850</v>
      </c>
      <c r="G177" t="s">
        <v>151</v>
      </c>
      <c r="I177" t="s">
        <v>151</v>
      </c>
      <c r="J177" t="s">
        <v>151</v>
      </c>
      <c r="K177" t="s">
        <v>151</v>
      </c>
      <c r="L177" t="s">
        <v>151</v>
      </c>
      <c r="M177" t="s">
        <v>151</v>
      </c>
      <c r="N177" t="s">
        <v>151</v>
      </c>
      <c r="O177" t="s">
        <v>151</v>
      </c>
      <c r="P177" t="s">
        <v>151</v>
      </c>
      <c r="Q177" t="s">
        <v>151</v>
      </c>
      <c r="S177" t="str">
        <f t="shared" si="4"/>
        <v>SYNGENE</v>
      </c>
      <c r="T177" t="str">
        <f t="shared" si="5"/>
        <v>SYNGENE</v>
      </c>
    </row>
  </sheetData>
  <autoFilter ref="A1:Q177" xr:uid="{00000000-0009-0000-0000-00000C000000}"/>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A1:BF78"/>
  <sheetViews>
    <sheetView topLeftCell="AT34" workbookViewId="0">
      <selection activeCell="BA71" sqref="BA71"/>
    </sheetView>
  </sheetViews>
  <sheetFormatPr defaultRowHeight="15"/>
  <cols>
    <col min="1" max="1" width="34.42578125" style="48" bestFit="1" customWidth="1"/>
    <col min="2" max="2" width="14.5703125" style="48" bestFit="1" customWidth="1"/>
    <col min="3" max="4" width="14.5703125" style="48" customWidth="1"/>
    <col min="5" max="5" width="10.42578125" style="48" bestFit="1" customWidth="1"/>
    <col min="6" max="7" width="9.140625" style="48"/>
    <col min="9" max="9" width="9.140625" customWidth="1"/>
    <col min="10" max="10" width="10.5703125" bestFit="1" customWidth="1"/>
    <col min="13" max="13" width="12.5703125" bestFit="1" customWidth="1"/>
    <col min="15" max="15" width="17.7109375" bestFit="1" customWidth="1"/>
    <col min="17" max="17" width="12.5703125" bestFit="1" customWidth="1"/>
    <col min="52" max="52" width="7.85546875" bestFit="1" customWidth="1"/>
    <col min="53" max="53" width="23.7109375" style="32" bestFit="1" customWidth="1"/>
    <col min="54" max="54" width="5.7109375" bestFit="1" customWidth="1"/>
    <col min="55" max="55" width="9" bestFit="1" customWidth="1"/>
    <col min="56" max="56" width="9" style="32" bestFit="1" customWidth="1"/>
    <col min="57" max="57" width="9.7109375" bestFit="1" customWidth="1"/>
    <col min="58" max="58" width="7" bestFit="1" customWidth="1"/>
  </cols>
  <sheetData>
    <row r="1" spans="1:58">
      <c r="A1" s="187" t="s">
        <v>485</v>
      </c>
      <c r="B1" s="188"/>
      <c r="C1" s="188"/>
      <c r="D1" s="188"/>
      <c r="E1" s="188"/>
      <c r="F1" s="188"/>
      <c r="G1" s="189"/>
      <c r="H1" t="s">
        <v>680</v>
      </c>
      <c r="J1" s="47" t="s">
        <v>605</v>
      </c>
      <c r="K1" s="47" t="s">
        <v>606</v>
      </c>
      <c r="L1" s="47" t="s">
        <v>608</v>
      </c>
      <c r="M1" s="47" t="s">
        <v>4</v>
      </c>
      <c r="N1" s="47" t="s">
        <v>607</v>
      </c>
      <c r="O1" s="47" t="s">
        <v>117</v>
      </c>
      <c r="R1" s="32" t="s">
        <v>504</v>
      </c>
      <c r="S1" s="32" t="s">
        <v>625</v>
      </c>
      <c r="AZ1" t="s">
        <v>707</v>
      </c>
      <c r="BA1" s="32" t="s">
        <v>521</v>
      </c>
      <c r="BB1" t="s">
        <v>708</v>
      </c>
      <c r="BC1" t="s">
        <v>709</v>
      </c>
      <c r="BD1" s="32" t="s">
        <v>685</v>
      </c>
      <c r="BE1" t="s">
        <v>710</v>
      </c>
      <c r="BF1" t="s">
        <v>711</v>
      </c>
    </row>
    <row r="2" spans="1:58" ht="18.75">
      <c r="A2" s="47" t="s">
        <v>148</v>
      </c>
      <c r="B2" s="47" t="s">
        <v>149</v>
      </c>
      <c r="C2" s="47"/>
      <c r="D2" s="47"/>
      <c r="E2" s="50">
        <v>44440</v>
      </c>
      <c r="F2" s="50">
        <v>44470</v>
      </c>
      <c r="G2" s="50">
        <v>44501</v>
      </c>
      <c r="J2" s="48"/>
      <c r="K2" s="48"/>
      <c r="L2" s="48" t="s">
        <v>631</v>
      </c>
      <c r="M2" s="48"/>
      <c r="N2" s="48"/>
      <c r="O2" s="148">
        <f>O4+O3</f>
        <v>6416432.9697500002</v>
      </c>
      <c r="P2">
        <v>1000000</v>
      </c>
      <c r="Q2" s="129">
        <f>O2+P2</f>
        <v>7416432.9697500002</v>
      </c>
      <c r="R2" s="7">
        <v>0.05</v>
      </c>
      <c r="S2" s="8">
        <v>1.1299999999999999E-2</v>
      </c>
      <c r="U2" t="s">
        <v>567</v>
      </c>
      <c r="AZ2" t="s">
        <v>712</v>
      </c>
      <c r="BA2" s="32" t="s">
        <v>713</v>
      </c>
      <c r="BB2">
        <v>1600</v>
      </c>
      <c r="BC2">
        <v>21.15</v>
      </c>
      <c r="BD2" s="32">
        <v>19.100000000000001</v>
      </c>
      <c r="BE2">
        <v>-3280</v>
      </c>
      <c r="BF2">
        <v>-9.69</v>
      </c>
    </row>
    <row r="3" spans="1:58">
      <c r="A3" s="48" t="s">
        <v>150</v>
      </c>
      <c r="B3" s="48" t="s">
        <v>506</v>
      </c>
      <c r="C3" s="48" t="str">
        <f>IF(OR(B3="NIFTY",B3="BANKNIFTY"),mrigxl_getIndexQuote(VLOOKUP(B3,Lots!$B:$C,2,0)),mrigxl_getStockQuote(B3))</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3" s="48" t="str">
        <f>mrigxl_getIndexQuote(H3)</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E3" s="48">
        <v>25</v>
      </c>
      <c r="F3" s="48">
        <v>25</v>
      </c>
      <c r="G3" s="48">
        <v>25</v>
      </c>
      <c r="H3" s="48" t="s">
        <v>89</v>
      </c>
      <c r="J3" s="48" t="s">
        <v>0</v>
      </c>
      <c r="K3" s="48">
        <f>312805+938000</f>
        <v>1250805</v>
      </c>
      <c r="L3" s="48">
        <v>1</v>
      </c>
      <c r="M3" s="145">
        <f>K3*L3</f>
        <v>1250805</v>
      </c>
      <c r="N3" s="144">
        <v>0</v>
      </c>
      <c r="O3" s="145">
        <f>M3*(1-N3)</f>
        <v>1250805</v>
      </c>
      <c r="U3" t="s">
        <v>568</v>
      </c>
      <c r="AZ3" t="s">
        <v>712</v>
      </c>
      <c r="BA3" s="32" t="s">
        <v>714</v>
      </c>
      <c r="BB3">
        <v>-3200</v>
      </c>
      <c r="BC3">
        <v>8.8000000000000007</v>
      </c>
      <c r="BD3" s="32">
        <v>2.5499999999999998</v>
      </c>
      <c r="BE3">
        <v>20000</v>
      </c>
      <c r="BF3">
        <v>-71.02</v>
      </c>
    </row>
    <row r="4" spans="1:58" ht="18.75">
      <c r="A4" s="48" t="s">
        <v>152</v>
      </c>
      <c r="B4" s="48" t="s">
        <v>502</v>
      </c>
      <c r="C4" s="48" t="str">
        <f>IF(OR(B4="NIFTY",B4="BANKNIFTY"),mrigxl_getIndexQuote(VLOOKUP(B4,Lots!$B:$C,2,0)),mrigxl_getStockQuote(B4))</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4" s="48" t="str">
        <f>mrigxl_getIndexQuote(H4)</f>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E4" s="48">
        <v>50</v>
      </c>
      <c r="F4" s="48">
        <v>50</v>
      </c>
      <c r="G4" s="48">
        <v>50</v>
      </c>
      <c r="H4" s="48" t="s">
        <v>88</v>
      </c>
      <c r="J4" s="48"/>
      <c r="K4" s="48"/>
      <c r="L4" s="48" t="s">
        <v>630</v>
      </c>
      <c r="M4" s="145"/>
      <c r="N4" s="144"/>
      <c r="O4" s="148">
        <f>SUM(O5:O8)</f>
        <v>5165627.9697500002</v>
      </c>
      <c r="P4">
        <v>1000000</v>
      </c>
      <c r="Q4" s="129">
        <f>O5+P4</f>
        <v>2898899.2</v>
      </c>
      <c r="U4" t="s">
        <v>569</v>
      </c>
      <c r="AZ4" t="s">
        <v>712</v>
      </c>
      <c r="BA4" s="32" t="s">
        <v>715</v>
      </c>
      <c r="BB4">
        <v>1600</v>
      </c>
      <c r="BC4">
        <v>369</v>
      </c>
      <c r="BD4" s="32">
        <v>360.3</v>
      </c>
      <c r="BE4">
        <v>-13920</v>
      </c>
      <c r="BF4">
        <v>-2.36</v>
      </c>
    </row>
    <row r="5" spans="1:58">
      <c r="A5" s="48" t="s">
        <v>153</v>
      </c>
      <c r="B5" s="48" t="s">
        <v>387</v>
      </c>
      <c r="C5" s="48" t="str">
        <f>IF(OR(B5="NIFTY",B5="BANKNIFTY"),mrigxl_getIndexQuote(VLOOKUP(B5,Lots!$B:$C,2,0)),mrigxl_getStockQuote(B5))</f>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quote_eq_url(symbol, series)
  File "C:\anaconda\lib\site-packages\nsepy\live.py", line 56, in get_quote
    stockQuote = nsepy.get_quote(symbol)
  File "g:\mrig analytics\mriganalytics\interface\pyxcel.py", line 155, in mrigxl_getStockQuote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5" s="48" t="str">
        <f>mrigxl_getStockQuote(B5)</f>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quote_eq_url(symbol, series)
  File "C:\anaconda\lib\site-packages\nsepy\live.py", line 56, in get_quote
    stockQuote = nsepy.get_quote(symbol)
  File "g:\mrig analytics\mriganalytics\interface\pyxcel.py", line 155, in mrigxl_getStockQuote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E5" s="48">
        <v>40</v>
      </c>
      <c r="F5" s="48">
        <v>40</v>
      </c>
      <c r="G5" s="48">
        <v>40</v>
      </c>
      <c r="H5" s="48" t="s">
        <v>507</v>
      </c>
      <c r="J5" s="48" t="s">
        <v>609</v>
      </c>
      <c r="K5" s="48">
        <v>891</v>
      </c>
      <c r="L5" s="159">
        <v>2368</v>
      </c>
      <c r="M5" s="145">
        <f>K5*L5</f>
        <v>2109888</v>
      </c>
      <c r="N5" s="144">
        <v>0.1</v>
      </c>
      <c r="O5" s="145">
        <f>M5*(1-N5)</f>
        <v>1898899.2</v>
      </c>
      <c r="U5" t="s">
        <v>570</v>
      </c>
      <c r="AZ5" t="s">
        <v>712</v>
      </c>
      <c r="BA5" s="32" t="s">
        <v>716</v>
      </c>
      <c r="BB5">
        <v>100</v>
      </c>
      <c r="BC5">
        <v>35175.81</v>
      </c>
      <c r="BD5" s="32">
        <v>34760</v>
      </c>
      <c r="BE5">
        <v>-41581.25</v>
      </c>
      <c r="BF5">
        <v>-1.18</v>
      </c>
    </row>
    <row r="6" spans="1:58">
      <c r="A6" s="48" t="s">
        <v>154</v>
      </c>
      <c r="B6" s="48" t="s">
        <v>2</v>
      </c>
      <c r="E6" s="49">
        <v>44440</v>
      </c>
      <c r="F6" s="49">
        <v>44470</v>
      </c>
      <c r="G6" s="49">
        <v>44501</v>
      </c>
      <c r="J6" s="48" t="s">
        <v>610</v>
      </c>
      <c r="K6" s="48">
        <v>629</v>
      </c>
      <c r="L6" s="48">
        <v>186.23</v>
      </c>
      <c r="M6" s="145">
        <f>K6*L6</f>
        <v>117138.67</v>
      </c>
      <c r="N6" s="144">
        <v>7.4999999999999997E-2</v>
      </c>
      <c r="O6" s="145">
        <f>M6*(1-N6)</f>
        <v>108353.26975000001</v>
      </c>
      <c r="U6" t="s">
        <v>571</v>
      </c>
      <c r="AZ6" t="s">
        <v>712</v>
      </c>
      <c r="BA6" s="32" t="s">
        <v>717</v>
      </c>
      <c r="BB6">
        <v>75</v>
      </c>
      <c r="BC6">
        <v>667.65</v>
      </c>
      <c r="BD6" s="32">
        <v>276</v>
      </c>
      <c r="BE6">
        <v>-29373.75</v>
      </c>
      <c r="BF6">
        <v>-58.66</v>
      </c>
    </row>
    <row r="7" spans="1:58">
      <c r="A7" s="48" t="s">
        <v>155</v>
      </c>
      <c r="B7" s="48" t="s">
        <v>126</v>
      </c>
      <c r="C7" s="48" t="e">
        <f>IF(OR(B7="NIFTY",B7="BANKNIFTY"),mrigxl_getIndexQuote(VLOOKUP(B7,Lots!$B:$C,2,0)),_xlfn.NUMBERVALUE(mrigxl_getStockQuote(B7)))</f>
        <v>#VALUE!</v>
      </c>
      <c r="D7" s="48" t="str">
        <f>mrigxl_getStockQuote(B7)</f>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E7" s="48">
        <v>500</v>
      </c>
      <c r="F7" s="48">
        <v>500</v>
      </c>
      <c r="G7" s="48">
        <v>500</v>
      </c>
      <c r="I7" s="7"/>
      <c r="J7" s="48" t="s">
        <v>612</v>
      </c>
      <c r="K7" s="48">
        <v>15000</v>
      </c>
      <c r="L7" s="48">
        <v>177.1</v>
      </c>
      <c r="M7" s="145">
        <f>K7*L7</f>
        <v>2656500</v>
      </c>
      <c r="N7" s="144">
        <v>7.4999999999999997E-2</v>
      </c>
      <c r="O7" s="145">
        <f>M7*(1-N7)</f>
        <v>2457262.5</v>
      </c>
      <c r="U7" t="s">
        <v>572</v>
      </c>
      <c r="AZ7" t="s">
        <v>712</v>
      </c>
      <c r="BA7" s="32" t="s">
        <v>718</v>
      </c>
      <c r="BB7">
        <v>-125</v>
      </c>
      <c r="BC7">
        <v>441.42</v>
      </c>
      <c r="BD7" s="32">
        <v>398.25</v>
      </c>
      <c r="BE7">
        <v>5396.25</v>
      </c>
      <c r="BF7">
        <v>-9.7799999999999994</v>
      </c>
    </row>
    <row r="8" spans="1:58">
      <c r="B8" s="48" t="s">
        <v>284</v>
      </c>
      <c r="C8" s="48" t="e">
        <f>IF(OR(B8="NIFTY",B8="BANKNIFTY"),mrigxl_getIndexQuote(VLOOKUP(B8,Lots!$B:$C,2,0)),_xlfn.NUMBERVALUE(mrigxl_getStockQuote(B8)))</f>
        <v>#VALUE!</v>
      </c>
      <c r="D8" s="48" t="str">
        <f>mrigxl_getStockQuote(B8)</f>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quote_eq_url(symbol, series)
  File "C:\anaconda\lib\site-packages\nsepy\live.py", line 56, in get_quote
    stockQuote = nsepy.get_quote(symbol)
  File "g:\mrig analytics\mriganalytics\interface\pyxcel.py", line 155, in mrigxl_getStockQuote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I8" s="7"/>
      <c r="J8" s="48" t="s">
        <v>613</v>
      </c>
      <c r="K8" s="48">
        <v>28000</v>
      </c>
      <c r="L8" s="48">
        <v>27.07</v>
      </c>
      <c r="M8" s="48">
        <f>K8*L8</f>
        <v>757960</v>
      </c>
      <c r="N8" s="144">
        <v>7.4999999999999997E-2</v>
      </c>
      <c r="O8" s="145">
        <f>M8*(1-N8)</f>
        <v>701113</v>
      </c>
      <c r="U8" t="s">
        <v>573</v>
      </c>
      <c r="AZ8" t="s">
        <v>712</v>
      </c>
      <c r="BA8" s="32" t="s">
        <v>719</v>
      </c>
      <c r="BB8">
        <v>-50</v>
      </c>
      <c r="BC8">
        <v>288.23</v>
      </c>
      <c r="BD8" s="32">
        <v>105.5</v>
      </c>
      <c r="BE8">
        <v>9136.25</v>
      </c>
      <c r="BF8">
        <v>-63.4</v>
      </c>
    </row>
    <row r="9" spans="1:58">
      <c r="B9" s="48" t="s">
        <v>126</v>
      </c>
      <c r="C9" s="48" t="e">
        <f>IF(OR(B9="NIFTY",B9="BANKNIFTY"),mrigxl_getIndexQuote(VLOOKUP(B9,Lots!$B:$C,2,0)),_xlfn.NUMBERVALUE(mrigxl_getStockQuote(B9)))</f>
        <v>#VALUE!</v>
      </c>
      <c r="D9" s="48" t="str">
        <f t="shared" ref="D9:D13" si="0">mrigxl_getStockQuote(B9)</f>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I9" s="7"/>
      <c r="J9" s="48"/>
      <c r="K9" s="48"/>
      <c r="L9" s="48"/>
      <c r="M9" s="48"/>
      <c r="N9" s="146"/>
      <c r="O9" s="146"/>
      <c r="U9" t="s">
        <v>574</v>
      </c>
      <c r="AZ9" t="s">
        <v>712</v>
      </c>
      <c r="BA9" s="32" t="s">
        <v>720</v>
      </c>
      <c r="BB9">
        <v>600</v>
      </c>
      <c r="BC9">
        <v>2447.25</v>
      </c>
      <c r="BD9" s="32">
        <v>2510.85</v>
      </c>
      <c r="BE9">
        <v>38160</v>
      </c>
      <c r="BF9">
        <v>2.6</v>
      </c>
    </row>
    <row r="10" spans="1:58">
      <c r="B10" s="48" t="s">
        <v>130</v>
      </c>
      <c r="C10" s="48" t="e">
        <f>IF(OR(B10="NIFTY",B10="BANKNIFTY"),mrigxl_getIndexQuote(VLOOKUP(B10,Lots!$B:$C,2,0)),_xlfn.NUMBERVALUE(mrigxl_getStockQuote(B10)))</f>
        <v>#VALUE!</v>
      </c>
      <c r="D10" s="48" t="str">
        <f>mrigxl_getStockQuote(B10)</f>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quote_eq_url(symbol, series)
  File "C:\anaconda\lib\site-packages\nsepy\live.py", line 56, in get_quote
    stockQuote = nsepy.get_quote(symbol)
  File "g:\mrig analytics\mriganalytics\interface\pyxcel.py", line 155, in mrigxl_getStockQuote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E10" s="164"/>
      <c r="I10" s="7"/>
      <c r="J10" s="48"/>
      <c r="K10" s="147"/>
      <c r="L10" s="48"/>
      <c r="M10" s="48"/>
      <c r="N10" s="146"/>
      <c r="O10" s="146"/>
      <c r="U10" t="s">
        <v>575</v>
      </c>
      <c r="AZ10" t="s">
        <v>712</v>
      </c>
      <c r="BA10" s="32" t="s">
        <v>721</v>
      </c>
      <c r="BB10">
        <v>-300</v>
      </c>
      <c r="BC10">
        <v>24.1</v>
      </c>
      <c r="BD10" s="32">
        <v>88.9</v>
      </c>
      <c r="BE10">
        <v>-19440</v>
      </c>
      <c r="BF10">
        <v>268.88</v>
      </c>
    </row>
    <row r="11" spans="1:58">
      <c r="B11" s="48" t="s">
        <v>381</v>
      </c>
      <c r="C11" s="48" t="e">
        <f>IF(OR(B11="NIFTY",B11="BANKNIFTY"),mrigxl_getIndexQuote(VLOOKUP(B11,Lots!$B:$C,2,0)),_xlfn.NUMBERVALUE(mrigxl_getStockQuote(B11)))</f>
        <v>#VALUE!</v>
      </c>
      <c r="D11" s="48" t="str">
        <f t="shared" si="0"/>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E11" s="164"/>
      <c r="J11" s="48"/>
      <c r="K11" s="48"/>
      <c r="L11" s="48"/>
      <c r="M11" s="48"/>
      <c r="N11" s="146"/>
      <c r="O11" s="146"/>
      <c r="U11" t="s">
        <v>576</v>
      </c>
      <c r="AZ11" t="s">
        <v>712</v>
      </c>
      <c r="BA11" s="32" t="s">
        <v>757</v>
      </c>
      <c r="BB11">
        <v>600</v>
      </c>
      <c r="BC11">
        <v>42.73</v>
      </c>
      <c r="BD11" s="32">
        <v>32</v>
      </c>
      <c r="BE11">
        <v>-6435</v>
      </c>
      <c r="BF11">
        <v>-25.1</v>
      </c>
    </row>
    <row r="12" spans="1:58">
      <c r="B12" s="48" t="s">
        <v>90</v>
      </c>
      <c r="C12" s="48" t="e">
        <f>IF(OR(B12="NIFTY",B12="BANKNIFTY"),mrigxl_getIndexQuote(VLOOKUP(B12,Lots!$B:$C,2,0)),_xlfn.NUMBERVALUE(mrigxl_getStockQuote(B12)))</f>
        <v>#VALUE!</v>
      </c>
      <c r="D12" s="48" t="str">
        <f t="shared" si="0"/>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E12" s="164"/>
      <c r="J12" s="48"/>
      <c r="K12" s="48"/>
      <c r="L12" s="48"/>
      <c r="M12" s="48"/>
      <c r="N12" s="48"/>
      <c r="O12" s="48"/>
      <c r="U12" t="s">
        <v>577</v>
      </c>
      <c r="AZ12" t="s">
        <v>712</v>
      </c>
      <c r="BA12" s="32" t="s">
        <v>722</v>
      </c>
      <c r="BB12">
        <v>-300</v>
      </c>
      <c r="BC12">
        <v>23.65</v>
      </c>
      <c r="BD12" s="32">
        <v>63.9</v>
      </c>
      <c r="BE12">
        <v>-12075</v>
      </c>
      <c r="BF12">
        <v>170.19</v>
      </c>
    </row>
    <row r="13" spans="1:58">
      <c r="B13" s="48" t="s">
        <v>390</v>
      </c>
      <c r="C13" s="48" t="e">
        <f>IF(OR(B13="NIFTY",B13="BANKNIFTY"),mrigxl_getIndexQuote(VLOOKUP(B13,Lots!$B:$C,2,0)),_xlfn.NUMBERVALUE(mrigxl_getStockQuote(B13)))</f>
        <v>#VALUE!</v>
      </c>
      <c r="D13" s="48" t="str">
        <f t="shared" si="0"/>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quote_eq_url(symbol, series)
  File "C:\anaconda\lib\site-packages\nsepy\live.py", line 56, in get_quote
    stockQuote = nsepy.get_quote(symbol)
  File "g:\mrig analytics\mriganalytics\interface\pyxcel.py", line 155, in mrigxl_getStockQuote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E13" s="164"/>
      <c r="J13" s="48"/>
      <c r="K13" s="48"/>
      <c r="L13" s="48"/>
      <c r="M13" s="48"/>
      <c r="N13" s="48"/>
      <c r="O13" s="48"/>
      <c r="U13" t="s">
        <v>578</v>
      </c>
      <c r="AZ13" t="s">
        <v>712</v>
      </c>
      <c r="BA13" s="32" t="s">
        <v>758</v>
      </c>
      <c r="BB13">
        <v>-300</v>
      </c>
      <c r="BC13">
        <v>33.700000000000003</v>
      </c>
      <c r="BD13" s="32">
        <v>34.25</v>
      </c>
      <c r="BE13">
        <v>-165</v>
      </c>
      <c r="BF13">
        <v>1.63</v>
      </c>
    </row>
    <row r="14" spans="1:58">
      <c r="A14" s="48" t="s">
        <v>540</v>
      </c>
      <c r="B14" s="48" t="s">
        <v>21</v>
      </c>
      <c r="C14" s="48" t="s">
        <v>548</v>
      </c>
      <c r="D14" s="48" t="s">
        <v>22</v>
      </c>
      <c r="E14" s="48" t="s">
        <v>78</v>
      </c>
      <c r="J14" s="48"/>
      <c r="K14" s="48"/>
      <c r="L14" s="48"/>
      <c r="M14" s="48"/>
      <c r="N14" s="48"/>
      <c r="O14" s="48"/>
      <c r="U14" t="s">
        <v>579</v>
      </c>
      <c r="AZ14" t="s">
        <v>712</v>
      </c>
      <c r="BA14" s="32" t="s">
        <v>723</v>
      </c>
      <c r="BB14">
        <v>3750</v>
      </c>
      <c r="BC14">
        <v>5.35</v>
      </c>
      <c r="BD14" s="32">
        <v>4.5999999999999996</v>
      </c>
      <c r="BE14">
        <v>-2812.5</v>
      </c>
      <c r="BF14">
        <v>-14.02</v>
      </c>
    </row>
    <row r="15" spans="1:58">
      <c r="A15" s="48" t="s">
        <v>482</v>
      </c>
      <c r="B15" s="48" t="s">
        <v>502</v>
      </c>
      <c r="C15" s="48" t="str">
        <f>IF(OR(B15="NIFTY",B15="BANKNIFTY"),mrigxl_getIndexQuote(VLOOKUP(B15,Lots!$B:$C,2,0)),_xlfn.NUMBERVALUE(mrigxl_getStockQuote(B15)))</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15" s="48">
        <v>16000</v>
      </c>
      <c r="E15" s="117">
        <v>44742</v>
      </c>
      <c r="F15" s="48" t="str">
        <f>TRIM(A15)&amp;TRIM(B15)&amp;TRIM(D15)&amp;TRIM(E15)</f>
        <v>PENIFTY1600044742</v>
      </c>
      <c r="G15" s="48" t="e">
        <f t="shared" ref="G15:G50" si="1">IF(H15="IN",VALUE(IF(A15="FUT",mrigxl_getIndexFuturesQuote(B15,E15,"lastPrice"),mrigxl_getIndexOptionQuote(B15,E15,D15,A15,$H$1))),VALUE(IF(A15="FUT",mrigxl_getStockFuturesQuote(B15,E15,"lastPrice"),mrigxl_getStockOptionQuote(B15,E15,D15,A15,$H$1))))</f>
        <v>#VALUE!</v>
      </c>
      <c r="H15" t="s">
        <v>640</v>
      </c>
      <c r="I15" t="str">
        <f t="shared" ref="I15:I36" si="2">IF(H15="IN",IF(A15="FUT",mrigxl_getIndexFuturesQuote(B15,E15,"lastPrice"),mrigxl_getIndexOptionQuote(B15,E15,D15,A15,$H$1)),IF(A15="FUT",mrigxl_getStockFuturesQuote(B15,E15,"lastPrice"),mrigxl_getStockOptionQuote(B15,E15,D15,A15,$H$1)))</f>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445, in getIndexOptionQuote
    quote = mu.getIndexOptionQuote(symbol,expiry,strike,opt_type)
  File "g:\mrig analytics\mriganalytics\interface\pyxcel.py", line 121, in mrigxl_getIndexOptionQuote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5" t="s">
        <v>580</v>
      </c>
      <c r="AZ15" t="s">
        <v>712</v>
      </c>
      <c r="BA15" s="32" t="s">
        <v>724</v>
      </c>
      <c r="BB15">
        <v>-3750</v>
      </c>
      <c r="BC15">
        <v>4.2</v>
      </c>
      <c r="BD15" s="32">
        <v>3.15</v>
      </c>
      <c r="BE15">
        <v>3937.5</v>
      </c>
      <c r="BF15">
        <v>-25</v>
      </c>
    </row>
    <row r="16" spans="1:58">
      <c r="A16" s="48" t="s">
        <v>482</v>
      </c>
      <c r="B16" s="48" t="s">
        <v>502</v>
      </c>
      <c r="C16" s="48" t="str">
        <f>IF(OR(B16="NIFTY",B16="BANKNIFTY"),mrigxl_getIndexQuote(VLOOKUP(B16,Lots!$B:$C,2,0)),_xlfn.NUMBERVALUE(mrigxl_getStockQuote(B16)))</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16" s="48">
        <v>15000</v>
      </c>
      <c r="E16" s="117">
        <v>44707</v>
      </c>
      <c r="F16" s="48" t="str">
        <f t="shared" ref="F16:F22" si="3">TRIM(A16)&amp;TRIM(B16)&amp;TRIM(D16)&amp;TRIM(E16)</f>
        <v>PENIFTY1500044707</v>
      </c>
      <c r="G16" s="48" t="e">
        <f t="shared" si="1"/>
        <v>#VALUE!</v>
      </c>
      <c r="H16" t="s">
        <v>640</v>
      </c>
      <c r="I16"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6" t="s">
        <v>581</v>
      </c>
      <c r="AZ16" t="s">
        <v>712</v>
      </c>
      <c r="BA16" s="32" t="s">
        <v>725</v>
      </c>
      <c r="BB16">
        <v>-3750</v>
      </c>
      <c r="BC16">
        <v>3.6</v>
      </c>
      <c r="BD16" s="32">
        <v>2.4500000000000002</v>
      </c>
      <c r="BE16">
        <v>4312.5</v>
      </c>
      <c r="BF16">
        <v>-31.94</v>
      </c>
    </row>
    <row r="17" spans="1:58">
      <c r="A17" s="48" t="s">
        <v>482</v>
      </c>
      <c r="B17" s="48" t="s">
        <v>284</v>
      </c>
      <c r="C17" s="48" t="e">
        <f>IF(OR(B17="NIFTY",B17="BANKNIFTY"),mrigxl_getIndexQuote(VLOOKUP(B17,Lots!$B:$C,2,0)),_xlfn.NUMBERVALUE(mrigxl_getStockQuote(B17)))</f>
        <v>#VALUE!</v>
      </c>
      <c r="D17" s="48">
        <v>410</v>
      </c>
      <c r="E17" s="117">
        <v>44707</v>
      </c>
      <c r="F17" s="48" t="str">
        <f t="shared" si="3"/>
        <v>PETATAMOTORS41044707</v>
      </c>
      <c r="G17" s="48" t="e">
        <f>IF(H17="IN",VALUE(IF(A17="FUT",mrigxl_getIndexFuturesQuote(B17,E17,"lastPrice"),mrigxl_getIndexOptionQuote(B17,E17,D17,A17,$H$1))),VALUE(IF(A17="FUT",mrigxl_getStockFuturesQuote(B17,E17,"lastPrice"),mrigxl_getStockOptionQuote(B17,E17,D17,A17,$H$1))))</f>
        <v>#VALUE!</v>
      </c>
      <c r="H17" t="s">
        <v>641</v>
      </c>
      <c r="I17"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7" t="s">
        <v>568</v>
      </c>
      <c r="AZ17" t="s">
        <v>712</v>
      </c>
      <c r="BA17" s="32" t="s">
        <v>726</v>
      </c>
      <c r="BB17">
        <v>-7500</v>
      </c>
      <c r="BC17">
        <v>2.63</v>
      </c>
      <c r="BD17" s="32">
        <v>1.9</v>
      </c>
      <c r="BE17">
        <v>5437.5</v>
      </c>
      <c r="BF17">
        <v>-27.62</v>
      </c>
    </row>
    <row r="18" spans="1:58">
      <c r="A18" s="48" t="s">
        <v>632</v>
      </c>
      <c r="B18" s="48" t="s">
        <v>502</v>
      </c>
      <c r="C18" s="48" t="str">
        <f>IF(OR(B18="NIFTY",B18="BANKNIFTY"),mrigxl_getIndexQuote(VLOOKUP(B18,Lots!$B:$C,2,0)),_xlfn.NUMBERVALUE(mrigxl_getStockQuote(B18)))</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E18" s="117">
        <v>44707</v>
      </c>
      <c r="F18" s="48" t="str">
        <f t="shared" si="3"/>
        <v>FUTNIFTY44707</v>
      </c>
      <c r="G18" s="48" t="e">
        <f>IF(H18="IN",VALUE(IF(A18="FUT",mrigxl_getIndexFuturesQuote(B18,E18,"lastPrice"),mrigxl_getIndexOptionQuote(B18,E18,D18,A18,$H$1))),VALUE(IF(A18="FUT",mrigxl_getStockFuturesQuote(B18,E18,"lastPrice"),mrigxl_getStockOptionQuote(B18,E18,D18,A18,$H$1))))</f>
        <v>#VALUE!</v>
      </c>
      <c r="H18" t="s">
        <v>640</v>
      </c>
      <c r="I18"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18" t="s">
        <v>582</v>
      </c>
      <c r="AZ18" t="s">
        <v>712</v>
      </c>
      <c r="BA18" s="32" t="s">
        <v>727</v>
      </c>
      <c r="BB18">
        <v>3750</v>
      </c>
      <c r="BC18">
        <v>178</v>
      </c>
      <c r="BD18" s="32">
        <v>162.85</v>
      </c>
      <c r="BE18">
        <v>-56812.5</v>
      </c>
      <c r="BF18">
        <v>-8.51</v>
      </c>
    </row>
    <row r="19" spans="1:58">
      <c r="A19" s="48" t="s">
        <v>482</v>
      </c>
      <c r="B19" s="48" t="s">
        <v>502</v>
      </c>
      <c r="C19" s="48" t="str">
        <f>IF(OR(B19="NIFTY",B19="BANKNIFTY"),mrigxl_getIndexQuote(VLOOKUP(B19,Lots!$B:$C,2,0)),_xlfn.NUMBERVALUE(mrigxl_getStockQuote(B19)))</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19" s="48">
        <v>14500</v>
      </c>
      <c r="E19" s="117">
        <v>44707</v>
      </c>
      <c r="F19" s="48" t="str">
        <f t="shared" si="3"/>
        <v>PENIFTY1450044707</v>
      </c>
      <c r="G19" s="48" t="e">
        <f t="shared" si="1"/>
        <v>#VALUE!</v>
      </c>
      <c r="H19" t="s">
        <v>640</v>
      </c>
      <c r="I19"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L19" s="8"/>
      <c r="U19" t="s">
        <v>583</v>
      </c>
      <c r="AZ19" t="s">
        <v>712</v>
      </c>
      <c r="BA19" s="32" t="s">
        <v>728</v>
      </c>
      <c r="BB19">
        <v>600</v>
      </c>
      <c r="BC19">
        <v>1659.98</v>
      </c>
      <c r="BD19" s="32">
        <v>1630.55</v>
      </c>
      <c r="BE19">
        <v>-17655</v>
      </c>
      <c r="BF19">
        <v>-1.77</v>
      </c>
    </row>
    <row r="20" spans="1:58">
      <c r="A20" s="48" t="s">
        <v>482</v>
      </c>
      <c r="B20" s="48" t="s">
        <v>502</v>
      </c>
      <c r="C20" s="48" t="str">
        <f>IF(OR(B20="NIFTY",B20="BANKNIFTY"),mrigxl_getIndexQuote(VLOOKUP(B20,Lots!$B:$C,2,0)),_xlfn.NUMBERVALUE(mrigxl_getStockQuote(B20)))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20" s="48">
        <v>15000</v>
      </c>
      <c r="E20" s="117">
        <v>44707</v>
      </c>
      <c r="F20" s="48" t="str">
        <f t="shared" si="3"/>
        <v>PENIFTY1500044707</v>
      </c>
      <c r="G20" s="48" t="e">
        <f t="shared" si="1"/>
        <v>#VALUE!</v>
      </c>
      <c r="H20" t="s">
        <v>640</v>
      </c>
      <c r="I20"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0" t="s">
        <v>582</v>
      </c>
      <c r="AZ20" t="s">
        <v>712</v>
      </c>
      <c r="BA20" s="32" t="s">
        <v>759</v>
      </c>
      <c r="BB20">
        <v>-300</v>
      </c>
      <c r="BC20">
        <v>23.6</v>
      </c>
      <c r="BD20" s="32">
        <v>28.25</v>
      </c>
      <c r="BE20">
        <v>-1395</v>
      </c>
      <c r="BF20">
        <v>19.7</v>
      </c>
    </row>
    <row r="21" spans="1:58">
      <c r="A21" s="48" t="s">
        <v>482</v>
      </c>
      <c r="B21" s="48" t="s">
        <v>284</v>
      </c>
      <c r="C21" s="48" t="e">
        <f>IF(OR(B21="NIFTY",B21="BANKNIFTY"),mrigxl_getIndexQuote(VLOOKUP(B21,Lots!$B:$C,2,0)),_xlfn.NUMBERVALUE(mrigxl_getStockQuote(B21)))</f>
        <v>#VALUE!</v>
      </c>
      <c r="D21" s="48">
        <v>450</v>
      </c>
      <c r="E21" s="117">
        <v>44707</v>
      </c>
      <c r="F21" s="48" t="str">
        <f t="shared" si="3"/>
        <v>PETATAMOTORS45044707</v>
      </c>
      <c r="G21" s="48" t="e">
        <f t="shared" ref="G21:G26" si="4">IF(H21="IN",VALUE(IF(A21="FUT",mrigxl_getIndexFuturesQuote(B21,E21,"lastPrice"),mrigxl_getIndexOptionQuote(B21,E21,D21,A21,$H$1))),VALUE(IF(A21="FUT",mrigxl_getStockFuturesQuote(B21,E21,"lastPrice"),mrigxl_getStockOptionQuote(B21,E21,D21,A21,$H$1))))</f>
        <v>#VALUE!</v>
      </c>
      <c r="H21" t="s">
        <v>641</v>
      </c>
      <c r="I21"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1" t="s">
        <v>582</v>
      </c>
      <c r="AZ21" t="s">
        <v>712</v>
      </c>
      <c r="BA21" s="32" t="s">
        <v>729</v>
      </c>
      <c r="BB21">
        <v>-300</v>
      </c>
      <c r="BC21">
        <v>12.3</v>
      </c>
      <c r="BD21" s="32">
        <v>24</v>
      </c>
      <c r="BE21">
        <v>-3510</v>
      </c>
      <c r="BF21">
        <v>95.12</v>
      </c>
    </row>
    <row r="22" spans="1:58">
      <c r="A22" s="48" t="s">
        <v>632</v>
      </c>
      <c r="B22" s="48" t="s">
        <v>130</v>
      </c>
      <c r="C22" s="48" t="e">
        <f>IF(OR(B22="NIFTY",B22="BANKNIFTY"),mrigxl_getIndexQuote(VLOOKUP(B22,Lots!$B:$C,2,0)),_xlfn.NUMBERVALUE(mrigxl_getStockQuote(B22)))</f>
        <v>#VALUE!</v>
      </c>
      <c r="E22" s="117">
        <v>44707</v>
      </c>
      <c r="F22" s="48" t="str">
        <f t="shared" si="3"/>
        <v>FUTTATAPOWER44707</v>
      </c>
      <c r="G22" s="48" t="e">
        <f t="shared" si="4"/>
        <v>#VALUE!</v>
      </c>
      <c r="H22" t="s">
        <v>641</v>
      </c>
      <c r="I22"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2" t="s">
        <v>584</v>
      </c>
      <c r="AZ22" t="s">
        <v>712</v>
      </c>
      <c r="BA22" s="32" t="s">
        <v>730</v>
      </c>
      <c r="BB22">
        <v>600</v>
      </c>
      <c r="BC22">
        <v>30</v>
      </c>
      <c r="BD22" s="32">
        <v>39.200000000000003</v>
      </c>
      <c r="BE22">
        <v>5520</v>
      </c>
      <c r="BF22">
        <v>30.67</v>
      </c>
    </row>
    <row r="23" spans="1:58">
      <c r="A23" s="48" t="s">
        <v>632</v>
      </c>
      <c r="B23" s="48" t="s">
        <v>502</v>
      </c>
      <c r="C23" s="48" t="str">
        <f>IF(OR(B23="NIFTY",B23="BANKNIFTY"),mrigxl_getIndexQuote(VLOOKUP(B23,Lots!$B:$C,2,0)),_xlfn.NUMBERVALUE(mrigxl_getStockQuote(B23)))</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E23" s="117">
        <v>44742</v>
      </c>
      <c r="F23" s="48" t="str">
        <f t="shared" ref="F23" si="5">TRIM(A23)&amp;TRIM(B23)&amp;TRIM(D23)&amp;TRIM(E23)</f>
        <v>FUTNIFTY44742</v>
      </c>
      <c r="G23" s="48" t="e">
        <f t="shared" si="4"/>
        <v>#VALUE!</v>
      </c>
      <c r="H23" t="s">
        <v>640</v>
      </c>
      <c r="I23"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3" t="s">
        <v>585</v>
      </c>
      <c r="AZ23" t="s">
        <v>712</v>
      </c>
      <c r="BA23" s="32" t="s">
        <v>731</v>
      </c>
      <c r="BB23">
        <v>-300</v>
      </c>
      <c r="BC23">
        <v>24.2</v>
      </c>
      <c r="BD23" s="32">
        <v>8.6999999999999993</v>
      </c>
      <c r="BE23">
        <v>4650</v>
      </c>
      <c r="BF23">
        <v>-64.05</v>
      </c>
    </row>
    <row r="24" spans="1:58">
      <c r="A24" s="48" t="s">
        <v>481</v>
      </c>
      <c r="B24" s="48" t="s">
        <v>126</v>
      </c>
      <c r="C24" s="48" t="e">
        <f>IF(OR(B24="NIFTY",B24="BANKNIFTY"),mrigxl_getIndexQuote(VLOOKUP(B24,Lots!$B:$C,2,0)),_xlfn.NUMBERVALUE(mrigxl_getStockQuote(B24)))</f>
        <v>#VALUE!</v>
      </c>
      <c r="D24" s="48">
        <v>220</v>
      </c>
      <c r="E24" s="117">
        <v>44707</v>
      </c>
      <c r="F24" s="48" t="str">
        <f>TRIM(A24)&amp;TRIM(B24)&amp;TRIM(D24)&amp;TRIM(E24)</f>
        <v>CEIEX22044707</v>
      </c>
      <c r="G24" s="48" t="e">
        <f t="shared" si="4"/>
        <v>#VALUE!</v>
      </c>
      <c r="H24" t="s">
        <v>641</v>
      </c>
      <c r="I24"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4" t="s">
        <v>586</v>
      </c>
      <c r="AZ24" t="s">
        <v>712</v>
      </c>
      <c r="BA24" s="32" t="s">
        <v>732</v>
      </c>
      <c r="BB24">
        <v>-50</v>
      </c>
      <c r="BC24">
        <v>66.3</v>
      </c>
      <c r="BD24" s="32">
        <v>36.35</v>
      </c>
      <c r="BE24">
        <v>1497.5</v>
      </c>
      <c r="BF24">
        <v>-45.17</v>
      </c>
    </row>
    <row r="25" spans="1:58">
      <c r="A25" s="48" t="s">
        <v>482</v>
      </c>
      <c r="B25" s="48" t="s">
        <v>126</v>
      </c>
      <c r="C25" s="48" t="e">
        <f>IF(OR(B25="NIFTY",B25="BANKNIFTY"),mrigxl_getIndexQuote(VLOOKUP(B25,Lots!$B:$C,2,0)),_xlfn.NUMBERVALUE(mrigxl_getStockQuote(B25)))</f>
        <v>#VALUE!</v>
      </c>
      <c r="D25" s="48">
        <v>205</v>
      </c>
      <c r="E25" s="117">
        <v>44707</v>
      </c>
      <c r="F25" s="48" t="str">
        <f t="shared" ref="F25:F35" si="6">TRIM(A25)&amp;TRIM(B25)&amp;TRIM(D25)&amp;TRIM(E25)</f>
        <v>PEIEX20544707</v>
      </c>
      <c r="G25" s="48" t="e">
        <f t="shared" si="4"/>
        <v>#VALUE!</v>
      </c>
      <c r="H25" t="s">
        <v>641</v>
      </c>
      <c r="I25"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5" t="s">
        <v>587</v>
      </c>
      <c r="AZ25" t="s">
        <v>712</v>
      </c>
      <c r="BA25" s="32" t="s">
        <v>760</v>
      </c>
      <c r="BB25">
        <v>-50</v>
      </c>
      <c r="BC25">
        <v>44.25</v>
      </c>
      <c r="BD25" s="32">
        <v>46</v>
      </c>
      <c r="BE25">
        <v>-87.5</v>
      </c>
      <c r="BF25">
        <v>3.95</v>
      </c>
    </row>
    <row r="26" spans="1:58">
      <c r="A26" s="48" t="s">
        <v>481</v>
      </c>
      <c r="B26" s="48" t="s">
        <v>130</v>
      </c>
      <c r="C26" s="48" t="e">
        <f>IF(OR(B26="NIFTY",B26="BANKNIFTY"),mrigxl_getIndexQuote(VLOOKUP(B26,Lots!$B:$C,2,0)),_xlfn.NUMBERVALUE(mrigxl_getStockQuote(B26)))</f>
        <v>#VALUE!</v>
      </c>
      <c r="D26" s="48">
        <v>280</v>
      </c>
      <c r="E26" s="117">
        <v>44707</v>
      </c>
      <c r="F26" s="48" t="str">
        <f>TRIM(A26)&amp;TRIM(B26)&amp;TRIM(D26)&amp;TRIM(E26)</f>
        <v>CETATAPOWER28044707</v>
      </c>
      <c r="G26" s="48" t="e">
        <f t="shared" si="4"/>
        <v>#VALUE!</v>
      </c>
      <c r="H26" t="s">
        <v>641</v>
      </c>
      <c r="I26"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6" t="s">
        <v>568</v>
      </c>
      <c r="AZ26" t="s">
        <v>712</v>
      </c>
      <c r="BA26" s="32" t="s">
        <v>761</v>
      </c>
      <c r="BB26">
        <v>-50</v>
      </c>
      <c r="BC26">
        <v>56.05</v>
      </c>
      <c r="BD26" s="32">
        <v>60</v>
      </c>
      <c r="BE26">
        <v>-197.5</v>
      </c>
      <c r="BF26">
        <v>7.05</v>
      </c>
    </row>
    <row r="27" spans="1:58">
      <c r="A27" s="48" t="s">
        <v>482</v>
      </c>
      <c r="B27" s="48" t="s">
        <v>506</v>
      </c>
      <c r="C27" s="48" t="str">
        <f>IF(OR(B27="NIFTY",B27="BANKNIFTY"),mrigxl_getIndexQuote(VLOOKUP(B27,Lots!$B:$C,2,0)),_xlfn.NUMBERVALUE(mrigxl_getStockQuote(B27)))</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27" s="48">
        <v>34800</v>
      </c>
      <c r="E27" s="117">
        <v>44707</v>
      </c>
      <c r="F27" s="48" t="str">
        <f>TRIM(A27)&amp;TRIM(B27)&amp;TRIM(D27)&amp;TRIM(E27)</f>
        <v>PEBANKNIFTY3480044707</v>
      </c>
      <c r="G27" s="48" t="e">
        <f t="shared" si="1"/>
        <v>#VALUE!</v>
      </c>
      <c r="H27" t="s">
        <v>640</v>
      </c>
      <c r="I27"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7" t="s">
        <v>568</v>
      </c>
      <c r="AZ27" t="s">
        <v>712</v>
      </c>
      <c r="BA27" s="32" t="s">
        <v>733</v>
      </c>
      <c r="BB27">
        <v>150</v>
      </c>
      <c r="BC27">
        <v>225.62</v>
      </c>
      <c r="BD27" s="32">
        <v>244</v>
      </c>
      <c r="BE27">
        <v>2757.5</v>
      </c>
      <c r="BF27">
        <v>8.15</v>
      </c>
    </row>
    <row r="28" spans="1:58">
      <c r="A28" s="48" t="s">
        <v>482</v>
      </c>
      <c r="B28" s="48" t="s">
        <v>506</v>
      </c>
      <c r="C28" s="48" t="str">
        <f>IF(OR(B28="NIFTY",B28="BANKNIFTY"),mrigxl_getIndexQuote(VLOOKUP(B28,Lots!$B:$C,2,0)),_xlfn.NUMBERVALUE(mrigxl_getStockQuote(B28)))</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28" s="48">
        <v>35000</v>
      </c>
      <c r="E28" s="117">
        <v>44707</v>
      </c>
      <c r="F28" s="48" t="str">
        <f>TRIM(A28)&amp;TRIM(B28)&amp;TRIM(D28)&amp;TRIM(E28)</f>
        <v>PEBANKNIFTY3500044707</v>
      </c>
      <c r="G28" s="48" t="e">
        <f t="shared" si="1"/>
        <v>#VALUE!</v>
      </c>
      <c r="H28" t="s">
        <v>640</v>
      </c>
      <c r="I28"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8" t="s">
        <v>568</v>
      </c>
      <c r="AZ28" t="s">
        <v>712</v>
      </c>
      <c r="BA28" s="32" t="s">
        <v>734</v>
      </c>
      <c r="BB28">
        <v>-150</v>
      </c>
      <c r="BC28">
        <v>100.75</v>
      </c>
      <c r="BD28" s="32">
        <v>31.75</v>
      </c>
      <c r="BE28">
        <v>10350</v>
      </c>
      <c r="BF28">
        <v>-68.489999999999995</v>
      </c>
    </row>
    <row r="29" spans="1:58">
      <c r="A29" s="48" t="s">
        <v>482</v>
      </c>
      <c r="B29" s="48" t="s">
        <v>502</v>
      </c>
      <c r="C29" s="48" t="str">
        <f>IF(OR(B29="NIFTY",B29="BANKNIFTY"),mrigxl_getIndexQuote(VLOOKUP(B29,Lots!$B:$C,2,0)),_xlfn.NUMBERVALUE(mrigxl_getStockQuote(B29)))</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29" s="48">
        <v>14000</v>
      </c>
      <c r="E29" s="117">
        <v>44707</v>
      </c>
      <c r="F29" s="48" t="str">
        <f>TRIM(A29)&amp;TRIM(B29)&amp;TRIM(D29)&amp;TRIM(E29)</f>
        <v>PENIFTY1400044707</v>
      </c>
      <c r="G29" s="48" t="e">
        <f t="shared" si="1"/>
        <v>#VALUE!</v>
      </c>
      <c r="H29" t="s">
        <v>640</v>
      </c>
      <c r="I29"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29" t="s">
        <v>568</v>
      </c>
      <c r="AZ29" t="s">
        <v>712</v>
      </c>
      <c r="BA29" s="32" t="s">
        <v>735</v>
      </c>
      <c r="BB29">
        <v>-200</v>
      </c>
      <c r="BC29">
        <v>90.14</v>
      </c>
      <c r="BD29" s="32">
        <v>19.899999999999999</v>
      </c>
      <c r="BE29">
        <v>14047.5</v>
      </c>
      <c r="BF29">
        <v>-77.92</v>
      </c>
    </row>
    <row r="30" spans="1:58">
      <c r="A30" s="48" t="s">
        <v>481</v>
      </c>
      <c r="B30" s="48" t="s">
        <v>502</v>
      </c>
      <c r="C30" s="48" t="str">
        <f>IF(OR(B30="NIFTY",B30="BANKNIFTY"),mrigxl_getIndexQuote(VLOOKUP(B30,Lots!$B:$C,2,0)),_xlfn.NUMBERVALUE(mrigxl_getStockQuote(B30)))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30" s="48">
        <v>18000</v>
      </c>
      <c r="E30" s="117">
        <v>44742</v>
      </c>
      <c r="F30" s="48" t="str">
        <f>TRIM(A30)&amp;TRIM(B30)&amp;TRIM(D30)&amp;TRIM(E30)</f>
        <v>CENIFTY1800044742</v>
      </c>
      <c r="G30" s="48" t="e">
        <f t="shared" si="1"/>
        <v>#VALUE!</v>
      </c>
      <c r="H30" t="s">
        <v>640</v>
      </c>
      <c r="I30"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0" t="s">
        <v>568</v>
      </c>
      <c r="AZ30" t="s">
        <v>712</v>
      </c>
      <c r="BA30" s="32" t="s">
        <v>736</v>
      </c>
      <c r="BB30">
        <v>-50</v>
      </c>
      <c r="BC30">
        <v>91.8</v>
      </c>
      <c r="BD30" s="32">
        <v>15.95</v>
      </c>
      <c r="BE30">
        <v>3792.5</v>
      </c>
      <c r="BF30">
        <v>-82.63</v>
      </c>
    </row>
    <row r="31" spans="1:58">
      <c r="A31" s="48" t="s">
        <v>481</v>
      </c>
      <c r="B31" s="48" t="s">
        <v>506</v>
      </c>
      <c r="C31" s="48" t="str">
        <f>IF(OR(B31="NIFTY",B31="BANKNIFTY"),mrigxl_getIndexQuote(VLOOKUP(B31,Lots!$B:$C,2,0)),_xlfn.NUMBERVALUE(mrigxl_getStockQuote(B31)))</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31" s="48">
        <v>38000</v>
      </c>
      <c r="E31" s="117">
        <v>44707</v>
      </c>
      <c r="F31" s="48" t="str">
        <f t="shared" si="6"/>
        <v>CEBANKNIFTY3800044707</v>
      </c>
      <c r="G31" s="48" t="e">
        <f t="shared" ref="G31:G47" si="7">IF(H31="IN",VALUE(IF(A31="FUT",mrigxl_getIndexFuturesQuote(B31,E31,"lastPrice"),mrigxl_getIndexOptionQuote(B31,E31,D31,A31,$H$1))),VALUE(IF(A31="FUT",mrigxl_getStockFuturesQuote(B31,E31,"lastPrice"),mrigxl_getStockOptionQuote(B31,E31,D31,A31,$H$1))))</f>
        <v>#VALUE!</v>
      </c>
      <c r="H31" t="s">
        <v>640</v>
      </c>
      <c r="I31"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1" t="s">
        <v>582</v>
      </c>
      <c r="AZ31" t="s">
        <v>712</v>
      </c>
      <c r="BA31" s="32" t="s">
        <v>737</v>
      </c>
      <c r="BB31">
        <v>150</v>
      </c>
      <c r="BC31">
        <v>16133.37</v>
      </c>
      <c r="BD31" s="32">
        <v>15941</v>
      </c>
      <c r="BE31">
        <v>-28855</v>
      </c>
      <c r="BF31">
        <v>-1.19</v>
      </c>
    </row>
    <row r="32" spans="1:58">
      <c r="A32" s="48" t="s">
        <v>632</v>
      </c>
      <c r="B32" s="48" t="s">
        <v>502</v>
      </c>
      <c r="C32" s="48" t="str">
        <f>IF(OR(B32="NIFTY",B32="BANKNIFTY"),mrigxl_getIndexQuote(VLOOKUP(B32,Lots!$B:$C,2,0)),_xlfn.NUMBERVALUE(mrigxl_getStockQuote(B32)))</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E32" s="117">
        <v>44707</v>
      </c>
      <c r="F32" s="48" t="str">
        <f t="shared" si="6"/>
        <v>FUTNIFTY44707</v>
      </c>
      <c r="G32" s="48" t="e">
        <f t="shared" si="7"/>
        <v>#VALUE!</v>
      </c>
      <c r="H32" t="s">
        <v>640</v>
      </c>
      <c r="I32"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2" t="s">
        <v>582</v>
      </c>
      <c r="AZ32" t="s">
        <v>712</v>
      </c>
      <c r="BA32" s="32" t="s">
        <v>738</v>
      </c>
      <c r="BB32">
        <v>-750</v>
      </c>
      <c r="BC32">
        <v>31.35</v>
      </c>
      <c r="BD32" s="32">
        <v>31</v>
      </c>
      <c r="BE32">
        <v>262.5</v>
      </c>
      <c r="BF32">
        <v>-1.1200000000000001</v>
      </c>
    </row>
    <row r="33" spans="1:58">
      <c r="A33" s="48" t="s">
        <v>481</v>
      </c>
      <c r="B33" s="48" t="s">
        <v>502</v>
      </c>
      <c r="C33" s="48" t="str">
        <f>IF(OR(B33="NIFTY",B33="BANKNIFTY"),mrigxl_getIndexQuote(VLOOKUP(B33,Lots!$B:$C,2,0)),_xlfn.NUMBERVALUE(mrigxl_getStockQuote(B33)))</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33" s="48">
        <v>18200</v>
      </c>
      <c r="E33" s="117">
        <v>44742</v>
      </c>
      <c r="F33" s="48" t="str">
        <f t="shared" si="6"/>
        <v>CENIFTY1820044742</v>
      </c>
      <c r="G33" s="48" t="e">
        <f t="shared" si="7"/>
        <v>#VALUE!</v>
      </c>
      <c r="H33" t="s">
        <v>640</v>
      </c>
      <c r="I33"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3" t="s">
        <v>582</v>
      </c>
      <c r="AZ33" t="s">
        <v>712</v>
      </c>
      <c r="BA33" s="32" t="s">
        <v>739</v>
      </c>
      <c r="BB33">
        <v>375</v>
      </c>
      <c r="BC33">
        <v>105.05</v>
      </c>
      <c r="BD33" s="32">
        <v>117</v>
      </c>
      <c r="BE33">
        <v>4481.25</v>
      </c>
      <c r="BF33">
        <v>11.38</v>
      </c>
    </row>
    <row r="34" spans="1:58">
      <c r="A34" s="48" t="s">
        <v>481</v>
      </c>
      <c r="B34" s="48" t="s">
        <v>502</v>
      </c>
      <c r="C34" s="48" t="str">
        <f>IF(OR(B34="NIFTY",B34="BANKNIFTY"),mrigxl_getIndexQuote(VLOOKUP(B34,Lots!$B:$C,2,0)),_xlfn.NUMBERVALUE(mrigxl_getStockQuote(B34)))</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34" s="48">
        <v>18000</v>
      </c>
      <c r="E34" s="117">
        <v>44707</v>
      </c>
      <c r="F34" s="48" t="str">
        <f t="shared" si="6"/>
        <v>CENIFTY1800044707</v>
      </c>
      <c r="G34" s="48" t="e">
        <f t="shared" si="7"/>
        <v>#VALUE!</v>
      </c>
      <c r="H34" t="s">
        <v>640</v>
      </c>
      <c r="I34"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4" t="s">
        <v>582</v>
      </c>
      <c r="AZ34" t="s">
        <v>712</v>
      </c>
      <c r="BA34" s="32" t="s">
        <v>740</v>
      </c>
      <c r="BB34">
        <v>-375</v>
      </c>
      <c r="BC34">
        <v>50</v>
      </c>
      <c r="BD34" s="32">
        <v>11.45</v>
      </c>
      <c r="BE34">
        <v>14456.25</v>
      </c>
      <c r="BF34">
        <v>-77.099999999999994</v>
      </c>
    </row>
    <row r="35" spans="1:58">
      <c r="A35" s="48" t="s">
        <v>481</v>
      </c>
      <c r="B35" s="48" t="s">
        <v>502</v>
      </c>
      <c r="C35" s="48" t="str">
        <f>IF(OR(B35="NIFTY",B35="BANKNIFTY"),mrigxl_getIndexQuote(VLOOKUP(B35,Lots!$B:$C,2,0)),_xlfn.NUMBERVALUE(mrigxl_getStockQuote(B35)))</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35" s="48">
        <v>17400</v>
      </c>
      <c r="E35" s="117">
        <v>44707</v>
      </c>
      <c r="F35" s="48" t="str">
        <f t="shared" si="6"/>
        <v>CENIFTY1740044707</v>
      </c>
      <c r="G35" s="48" t="e">
        <f t="shared" si="7"/>
        <v>#VALUE!</v>
      </c>
      <c r="H35" t="s">
        <v>640</v>
      </c>
      <c r="I35"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5" t="s">
        <v>568</v>
      </c>
      <c r="AZ35" t="s">
        <v>712</v>
      </c>
      <c r="BA35" s="32" t="s">
        <v>741</v>
      </c>
      <c r="BB35">
        <v>-375</v>
      </c>
      <c r="BC35">
        <v>35</v>
      </c>
      <c r="BD35" s="32">
        <v>4</v>
      </c>
      <c r="BE35">
        <v>11625</v>
      </c>
      <c r="BF35">
        <v>-88.57</v>
      </c>
    </row>
    <row r="36" spans="1:58">
      <c r="A36" s="48" t="s">
        <v>481</v>
      </c>
      <c r="B36" s="48" t="s">
        <v>130</v>
      </c>
      <c r="C36" s="48" t="e">
        <f>IF(OR(B36="NIFTY",B36="BANKNIFTY"),mrigxl_getIndexQuote(VLOOKUP(B36,Lots!$B:$C,2,0)),_xlfn.NUMBERVALUE(mrigxl_getStockQuote(B36)))</f>
        <v>#VALUE!</v>
      </c>
      <c r="D36" s="48">
        <v>270</v>
      </c>
      <c r="E36" s="117">
        <v>44707</v>
      </c>
      <c r="F36" s="48" t="str">
        <f>TRIM(A36)&amp;TRIM(B36)&amp;TRIM(D36)&amp;TRIM(E36)</f>
        <v>CETATAPOWER27044707</v>
      </c>
      <c r="G36" s="48" t="e">
        <f t="shared" si="7"/>
        <v>#VALUE!</v>
      </c>
      <c r="H36" t="s">
        <v>641</v>
      </c>
      <c r="I36" t="str">
        <f t="shared" si="2"/>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6" t="s">
        <v>585</v>
      </c>
      <c r="AZ36" t="s">
        <v>712</v>
      </c>
      <c r="BA36" s="32" t="s">
        <v>742</v>
      </c>
      <c r="BB36">
        <v>375</v>
      </c>
      <c r="BC36">
        <v>2470</v>
      </c>
      <c r="BD36" s="32">
        <v>2211</v>
      </c>
      <c r="BE36">
        <v>-97125</v>
      </c>
      <c r="BF36">
        <v>-10.49</v>
      </c>
    </row>
    <row r="37" spans="1:58">
      <c r="A37" s="48" t="s">
        <v>481</v>
      </c>
      <c r="B37" s="48" t="s">
        <v>284</v>
      </c>
      <c r="C37" s="48" t="e">
        <f>IF(OR(B37="NIFTY",B37="BANKNIFTY"),mrigxl_getIndexQuote(VLOOKUP(B37,Lots!$B:$C,2,0)),_xlfn.NUMBERVALUE(mrigxl_getStockQuote(B37)))</f>
        <v>#VALUE!</v>
      </c>
      <c r="D37" s="48">
        <v>500</v>
      </c>
      <c r="E37" s="117">
        <v>44707</v>
      </c>
      <c r="F37" s="48" t="str">
        <f t="shared" ref="F37" si="8">TRIM(A37)&amp;TRIM(B37)&amp;TRIM(D37)&amp;TRIM(E37)</f>
        <v>CETATAMOTORS50044707</v>
      </c>
      <c r="G37" s="48" t="e">
        <f t="shared" si="7"/>
        <v>#VALUE!</v>
      </c>
      <c r="H37" t="s">
        <v>641</v>
      </c>
      <c r="I37" t="str">
        <f t="shared" ref="I37:I40" si="9">IF(H37="IN",IF(A37="FUT",mrigxl_getIndexFuturesQuote(B37,E37,"lastPrice"),mrigxl_getIndexOptionQuote(B37,E37,D37,A37,$H$1)),IF(A37="FUT",mrigxl_getStockFuturesQuote(B37,E37,"lastPrice"),mrigxl_getStockOptionQuote(B37,E37,D37,A37,$H$1)))</f>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394, in getStockOptionQuote
    quote = mu.getStockOptionQuote(symbol,expiry,strike,opt_type)
  File "g:\mrig analytics\mriganalytics\interface\pyxcel.py", line 110, in mrigxl_getStockOptionQuote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7" t="s">
        <v>582</v>
      </c>
      <c r="AZ37" t="s">
        <v>712</v>
      </c>
      <c r="BA37" s="32" t="s">
        <v>743</v>
      </c>
      <c r="BB37">
        <v>4275</v>
      </c>
      <c r="BC37">
        <v>440.6</v>
      </c>
      <c r="BD37" s="32">
        <v>430.1</v>
      </c>
      <c r="BE37">
        <v>-44887.5</v>
      </c>
      <c r="BF37">
        <v>-2.38</v>
      </c>
    </row>
    <row r="38" spans="1:58">
      <c r="A38" s="48" t="s">
        <v>481</v>
      </c>
      <c r="B38" s="48" t="s">
        <v>130</v>
      </c>
      <c r="C38" s="48" t="e">
        <f>IF(OR(B38="NIFTY",B38="BANKNIFTY"),mrigxl_getIndexQuote(VLOOKUP(B38,Lots!$B:$C,2,0)),_xlfn.NUMBERVALUE(mrigxl_getStockQuote(B38)))</f>
        <v>#VALUE!</v>
      </c>
      <c r="D38" s="48">
        <v>255</v>
      </c>
      <c r="E38" s="117">
        <v>44707</v>
      </c>
      <c r="F38" s="48" t="str">
        <f>TRIM(A38)&amp;TRIM(B38)&amp;TRIM(D38)&amp;TRIM(E38)</f>
        <v>CETATAPOWER25544707</v>
      </c>
      <c r="G38" s="48" t="e">
        <f t="shared" si="7"/>
        <v>#VALUE!</v>
      </c>
      <c r="H38" t="s">
        <v>641</v>
      </c>
      <c r="I38" t="str">
        <f t="shared" si="9"/>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394, in getStockOptionQuote
    quote = mu.getStockOptionQuote(symbol,expiry,strike,opt_type)
  File "g:\mrig analytics\mriganalytics\interface\pyxcel.py", line 110, in mrigxl_getStockOptionQuote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8" t="s">
        <v>585</v>
      </c>
      <c r="AZ38" t="s">
        <v>712</v>
      </c>
      <c r="BA38" s="32" t="s">
        <v>744</v>
      </c>
      <c r="BB38">
        <v>4275</v>
      </c>
      <c r="BC38">
        <v>10.57</v>
      </c>
      <c r="BD38" s="32">
        <v>12.4</v>
      </c>
      <c r="BE38">
        <v>7837.5</v>
      </c>
      <c r="BF38">
        <v>17.350000000000001</v>
      </c>
    </row>
    <row r="39" spans="1:58">
      <c r="A39" s="48" t="s">
        <v>632</v>
      </c>
      <c r="B39" s="48" t="s">
        <v>506</v>
      </c>
      <c r="C39" s="48" t="str">
        <f>IF(OR(B39="NIFTY",B39="BANKNIFTY"),mrigxl_getIndexQuote(VLOOKUP(B39,Lots!$B:$C,2,0)),_xlfn.NUMBERVALUE(mrigxl_getStockQuote(B39)))</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E39" s="117">
        <v>44707</v>
      </c>
      <c r="F39" s="48" t="str">
        <f t="shared" ref="F39:F41" si="10">TRIM(A39)&amp;TRIM(B39)&amp;TRIM(D39)&amp;TRIM(E39)</f>
        <v>FUTBANKNIFTY44707</v>
      </c>
      <c r="G39" s="48" t="e">
        <f t="shared" si="7"/>
        <v>#VALUE!</v>
      </c>
      <c r="H39" t="s">
        <v>640</v>
      </c>
      <c r="I39" t="str">
        <f t="shared" si="9"/>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471, in getIndexFuturesQuote
    quote = mu.getIndexFuturesQuote(symbol,exp)
  File "g:\mrig analytics\mriganalytics\interface\pyxcel.py", line 140, in mrigxl_getIndexFuturesQuote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39" t="s">
        <v>585</v>
      </c>
      <c r="AZ39" t="s">
        <v>712</v>
      </c>
      <c r="BA39" s="32" t="s">
        <v>745</v>
      </c>
      <c r="BB39">
        <v>-2850</v>
      </c>
      <c r="BC39">
        <v>6.28</v>
      </c>
      <c r="BD39" s="32">
        <v>4.75</v>
      </c>
      <c r="BE39">
        <v>4346.25</v>
      </c>
      <c r="BF39">
        <v>-24.3</v>
      </c>
    </row>
    <row r="40" spans="1:58">
      <c r="A40" s="48" t="s">
        <v>481</v>
      </c>
      <c r="B40" s="48" t="s">
        <v>506</v>
      </c>
      <c r="C40" s="48" t="str">
        <f>IF(OR(B40="NIFTY",B40="BANKNIFTY"),mrigxl_getIndexQuote(VLOOKUP(B40,Lots!$B:$C,2,0)),_xlfn.NUMBERVALUE(mrigxl_getStockQuote(B40)))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40" s="48">
        <v>37500</v>
      </c>
      <c r="E40" s="117">
        <v>44707</v>
      </c>
      <c r="F40" s="48" t="str">
        <f t="shared" si="10"/>
        <v>CEBANKNIFTY3750044707</v>
      </c>
      <c r="G40" s="48" t="e">
        <f t="shared" si="7"/>
        <v>#VALUE!</v>
      </c>
      <c r="H40" t="s">
        <v>640</v>
      </c>
      <c r="I40" t="str">
        <f t="shared" si="9"/>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445, in getIndexOptionQuote
    quote = mu.getIndexOptionQuote(symbol,expiry,strike,opt_type)
  File "g:\mrig analytics\mriganalytics\interface\pyxcel.py", line 121, in mrigxl_getIndexOptionQuote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0" t="s">
        <v>582</v>
      </c>
      <c r="AZ40" t="s">
        <v>712</v>
      </c>
      <c r="BA40" s="32" t="s">
        <v>746</v>
      </c>
      <c r="BB40">
        <v>-4275</v>
      </c>
      <c r="BC40">
        <v>6.18</v>
      </c>
      <c r="BD40" s="32">
        <v>3.05</v>
      </c>
      <c r="BE40">
        <v>13395</v>
      </c>
      <c r="BF40">
        <v>-50.67</v>
      </c>
    </row>
    <row r="41" spans="1:58">
      <c r="A41" s="48" t="s">
        <v>481</v>
      </c>
      <c r="B41" s="48" t="s">
        <v>284</v>
      </c>
      <c r="C41" s="48" t="e">
        <f>IF(OR(B41="NIFTY",B41="BANKNIFTY"),mrigxl_getIndexQuote(VLOOKUP(B41,Lots!$B:$C,2,0)),_xlfn.NUMBERVALUE(mrigxl_getStockQuote(B41)))</f>
        <v>#VALUE!</v>
      </c>
      <c r="D41" s="48">
        <v>440</v>
      </c>
      <c r="E41" s="117">
        <v>44707</v>
      </c>
      <c r="F41" s="48" t="str">
        <f t="shared" si="10"/>
        <v>CETATAMOTORS44044707</v>
      </c>
      <c r="G41" s="48" t="e">
        <f t="shared" si="7"/>
        <v>#VALUE!</v>
      </c>
      <c r="H41" t="s">
        <v>641</v>
      </c>
      <c r="I41" t="str">
        <f t="shared" ref="I41" si="11">IF(H41="IN",IF(A41="FUT",mrigxl_getIndexFuturesQuote(B41,E41,"lastPrice"),mrigxl_getIndexOptionQuote(B41,E41,D41,A41,$H$1)),IF(A41="FUT",mrigxl_getStockFuturesQuote(B41,E41,"lastPrice"),mrigxl_getStockOptionQuote(B41,E41,D41,A41,$H$1)))</f>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1" t="s">
        <v>582</v>
      </c>
      <c r="AZ41" t="s">
        <v>712</v>
      </c>
      <c r="BA41" s="32" t="s">
        <v>747</v>
      </c>
      <c r="BB41">
        <v>3375</v>
      </c>
      <c r="BC41">
        <v>10.3</v>
      </c>
      <c r="BD41" s="32">
        <v>2.2000000000000002</v>
      </c>
      <c r="BE41">
        <v>-27337.5</v>
      </c>
      <c r="BF41">
        <v>-78.64</v>
      </c>
    </row>
    <row r="42" spans="1:58">
      <c r="A42" s="48" t="s">
        <v>481</v>
      </c>
      <c r="B42" s="48" t="s">
        <v>284</v>
      </c>
      <c r="C42" s="48" t="e">
        <f>IF(OR(B42="NIFTY",B42="BANKNIFTY"),mrigxl_getIndexQuote(VLOOKUP(B42,Lots!$B:$C,2,0)),_xlfn.NUMBERVALUE(mrigxl_getStockQuote(B42)))</f>
        <v>#VALUE!</v>
      </c>
      <c r="D42" s="48">
        <v>430</v>
      </c>
      <c r="E42" s="117">
        <v>44707</v>
      </c>
      <c r="F42" s="48" t="str">
        <f t="shared" ref="F42:F43" si="12">TRIM(A42)&amp;TRIM(B42)&amp;TRIM(D42)&amp;TRIM(E42)</f>
        <v>CETATAMOTORS43044707</v>
      </c>
      <c r="G42" s="48" t="e">
        <f t="shared" si="7"/>
        <v>#VALUE!</v>
      </c>
      <c r="H42" t="s">
        <v>641</v>
      </c>
      <c r="I42" t="str">
        <f t="shared" ref="I42:I43" si="13">IF(H42="IN",IF(A42="FUT",mrigxl_getIndexFuturesQuote(B42,E42,"lastPrice"),mrigxl_getIndexOptionQuote(B42,E42,D42,A42,$H$1)),IF(A42="FUT",mrigxl_getStockFuturesQuote(B42,E42,"lastPrice"),mrigxl_getStockOptionQuote(B42,E42,D42,A42,$H$1)))</f>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2" t="s">
        <v>582</v>
      </c>
      <c r="AZ42" t="s">
        <v>712</v>
      </c>
      <c r="BA42" s="32" t="s">
        <v>748</v>
      </c>
      <c r="BB42">
        <v>-6750</v>
      </c>
      <c r="BC42">
        <v>2.7</v>
      </c>
      <c r="BD42" s="32">
        <v>3.5</v>
      </c>
      <c r="BE42">
        <v>-5400</v>
      </c>
      <c r="BF42">
        <v>29.63</v>
      </c>
    </row>
    <row r="43" spans="1:58">
      <c r="A43" s="48" t="s">
        <v>632</v>
      </c>
      <c r="B43" s="48" t="s">
        <v>126</v>
      </c>
      <c r="C43" s="48" t="e">
        <f>IF(OR(B43="NIFTY",B43="BANKNIFTY"),mrigxl_getIndexQuote(VLOOKUP(B43,Lots!$B:$C,2,0)),_xlfn.NUMBERVALUE(mrigxl_getStockQuote(B43)))</f>
        <v>#VALUE!</v>
      </c>
      <c r="E43" s="117">
        <v>44707</v>
      </c>
      <c r="F43" s="48" t="str">
        <f t="shared" si="12"/>
        <v>FUTIEX44707</v>
      </c>
      <c r="G43" s="48" t="e">
        <f t="shared" si="7"/>
        <v>#VALUE!</v>
      </c>
      <c r="H43" t="s">
        <v>641</v>
      </c>
      <c r="I43" t="str">
        <f t="shared" si="13"/>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3" t="s">
        <v>584</v>
      </c>
      <c r="AZ43" t="s">
        <v>712</v>
      </c>
      <c r="BA43" s="32" t="s">
        <v>749</v>
      </c>
      <c r="BB43">
        <v>-6750</v>
      </c>
      <c r="BC43">
        <v>2.58</v>
      </c>
      <c r="BD43" s="32">
        <v>2.2000000000000002</v>
      </c>
      <c r="BE43">
        <v>2531.25</v>
      </c>
      <c r="BF43">
        <v>-14.56</v>
      </c>
    </row>
    <row r="44" spans="1:58">
      <c r="A44" s="48" t="s">
        <v>632</v>
      </c>
      <c r="B44" s="48" t="s">
        <v>284</v>
      </c>
      <c r="C44" s="48" t="e">
        <f>IF(OR(B44="NIFTY",B44="BANKNIFTY"),mrigxl_getIndexQuote(VLOOKUP(B44,Lots!$B:$C,2,0)),_xlfn.NUMBERVALUE(mrigxl_getStockQuote(B44)))</f>
        <v>#VALUE!</v>
      </c>
      <c r="E44" s="117">
        <v>44707</v>
      </c>
      <c r="F44" s="48" t="str">
        <f t="shared" ref="F44:F47" si="14">TRIM(A44)&amp;TRIM(B44)&amp;TRIM(D44)&amp;TRIM(E44)</f>
        <v>FUTTATAMOTORS44707</v>
      </c>
      <c r="G44" s="48" t="e">
        <f t="shared" si="7"/>
        <v>#VALUE!</v>
      </c>
      <c r="H44" t="s">
        <v>641</v>
      </c>
      <c r="I44" t="str">
        <f t="shared" ref="I44:I47" si="15">IF(H44="IN",IF(A44="FUT",mrigxl_getIndexFuturesQuote(B44,E44,"lastPrice"),mrigxl_getIndexOptionQuote(B44,E44,D44,A44,$H$1)),IF(A44="FUT",mrigxl_getStockFuturesQuote(B44,E44,"lastPrice"),mrigxl_getStockOptionQuote(B44,E44,D44,A44,$H$1)))</f>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4" t="s">
        <v>584</v>
      </c>
      <c r="AZ44" t="s">
        <v>712</v>
      </c>
      <c r="BA44" s="32" t="s">
        <v>750</v>
      </c>
      <c r="BB44">
        <v>3375</v>
      </c>
      <c r="BC44">
        <v>235.4</v>
      </c>
      <c r="BD44" s="32">
        <v>222.15</v>
      </c>
      <c r="BE44">
        <v>-44718.75</v>
      </c>
      <c r="BF44">
        <v>-5.63</v>
      </c>
    </row>
    <row r="45" spans="1:58">
      <c r="A45" s="48" t="s">
        <v>481</v>
      </c>
      <c r="B45" s="48" t="s">
        <v>506</v>
      </c>
      <c r="C45" s="48" t="str">
        <f>IF(OR(B45="NIFTY",B45="BANKNIFTY"),mrigxl_getIndexQuote(VLOOKUP(B45,Lots!$B:$C,2,0)),_xlfn.NUMBERVALUE(mrigxl_getStockQuote(B45)))</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45" s="48">
        <v>39000</v>
      </c>
      <c r="E45" s="117">
        <v>44707</v>
      </c>
      <c r="F45" s="48" t="str">
        <f t="shared" si="14"/>
        <v>CEBANKNIFTY3900044707</v>
      </c>
      <c r="G45" s="48" t="e">
        <f t="shared" si="7"/>
        <v>#VALUE!</v>
      </c>
      <c r="H45" t="s">
        <v>640</v>
      </c>
      <c r="I45" t="str">
        <f t="shared" si="15"/>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445, in getIndexOptionQuote
    quote = mu.getIndexOptionQuote(symbol,expiry,strike,opt_type)
  File "g:\mrig analytics\mriganalytics\interface\pyxcel.py", line 121, in mrigxl_getIndexOptionQuote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5" t="s">
        <v>582</v>
      </c>
      <c r="AZ45" t="s">
        <v>712</v>
      </c>
      <c r="BA45" s="32" t="s">
        <v>751</v>
      </c>
      <c r="BB45">
        <v>300</v>
      </c>
      <c r="BC45">
        <v>96.55</v>
      </c>
      <c r="BD45" s="32">
        <v>196.4</v>
      </c>
      <c r="BE45">
        <v>29955</v>
      </c>
      <c r="BF45">
        <v>103.42</v>
      </c>
    </row>
    <row r="46" spans="1:58">
      <c r="A46" s="48" t="s">
        <v>481</v>
      </c>
      <c r="B46" s="48" t="s">
        <v>506</v>
      </c>
      <c r="C46" s="48" t="str">
        <f>IF(OR(B46="NIFTY",B46="BANKNIFTY"),mrigxl_getIndexQuote(VLOOKUP(B46,Lots!$B:$C,2,0)),_xlfn.NUMBERVALUE(mrigxl_getStockQuote(B46)))</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46" s="48">
        <v>39500</v>
      </c>
      <c r="E46" s="117">
        <v>44707</v>
      </c>
      <c r="F46" s="48" t="str">
        <f t="shared" si="14"/>
        <v>CEBANKNIFTY3950044707</v>
      </c>
      <c r="G46" s="48" t="e">
        <f t="shared" si="7"/>
        <v>#VALUE!</v>
      </c>
      <c r="H46" t="s">
        <v>640</v>
      </c>
      <c r="I46" t="str">
        <f t="shared" si="15"/>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445, in getIndexOptionQuote
    quote = mu.getIndexOptionQuote(symbol,expiry,strike,opt_type)
  File "g:\mrig analytics\mriganalytics\interface\pyxcel.py", line 121, in mrigxl_getIndexOptionQuote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6" t="s">
        <v>582</v>
      </c>
      <c r="AZ46" t="s">
        <v>712</v>
      </c>
      <c r="BA46" s="32" t="s">
        <v>752</v>
      </c>
      <c r="BB46">
        <v>-150</v>
      </c>
      <c r="BC46">
        <v>50.15</v>
      </c>
      <c r="BD46" s="32">
        <v>2.95</v>
      </c>
      <c r="BE46">
        <v>7080</v>
      </c>
      <c r="BF46">
        <v>-94.12</v>
      </c>
    </row>
    <row r="47" spans="1:58">
      <c r="A47" s="48" t="s">
        <v>481</v>
      </c>
      <c r="B47" s="48" t="s">
        <v>502</v>
      </c>
      <c r="C47" s="48" t="str">
        <f>IF(OR(B47="NIFTY",B47="BANKNIFTY"),mrigxl_getIndexQuote(VLOOKUP(B47,Lots!$B:$C,2,0)),_xlfn.NUMBERVALUE(mrigxl_getStockQuote(B47)))</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47" s="48">
        <v>17000</v>
      </c>
      <c r="E47" s="117">
        <v>44707</v>
      </c>
      <c r="F47" s="48" t="str">
        <f t="shared" si="14"/>
        <v>CENIFTY1700044707</v>
      </c>
      <c r="G47" s="48" t="e">
        <f t="shared" si="7"/>
        <v>#VALUE!</v>
      </c>
      <c r="H47" t="s">
        <v>640</v>
      </c>
      <c r="I47" t="str">
        <f t="shared" si="15"/>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445, in getIndexOptionQuote
    quote = mu.getIndexOptionQuote(symbol,expiry,strike,opt_type)
  File "g:\mrig analytics\mriganalytics\interface\pyxcel.py", line 121, in mrigxl_getIndexOptionQuote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7" t="s">
        <v>568</v>
      </c>
      <c r="AZ47" t="s">
        <v>712</v>
      </c>
      <c r="BA47" s="32" t="s">
        <v>753</v>
      </c>
      <c r="BB47">
        <v>-300</v>
      </c>
      <c r="BC47">
        <v>33.03</v>
      </c>
      <c r="BD47" s="32">
        <v>2.1</v>
      </c>
      <c r="BE47">
        <v>9277.5</v>
      </c>
      <c r="BF47">
        <v>-93.64</v>
      </c>
    </row>
    <row r="48" spans="1:58">
      <c r="A48" s="48" t="s">
        <v>481</v>
      </c>
      <c r="B48" s="48" t="s">
        <v>502</v>
      </c>
      <c r="C48" s="48" t="str">
        <f>IF(OR(B48="NIFTY",B48="BANKNIFTY"),mrigxl_getIndexQuote(VLOOKUP(B48,Lots!$B:$C,2,0)),_xlfn.NUMBERVALUE(mrigxl_getStockQuote(B48)))</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48" s="48">
        <v>17500</v>
      </c>
      <c r="E48" s="117">
        <v>44707</v>
      </c>
      <c r="F48" s="48" t="str">
        <f t="shared" ref="F48:F50" si="16">TRIM(A48)&amp;TRIM(B48)&amp;TRIM(D48)&amp;TRIM(E48)</f>
        <v>CENIFTY1750044707</v>
      </c>
      <c r="G48" s="48" t="e">
        <f t="shared" si="1"/>
        <v>#VALUE!</v>
      </c>
      <c r="H48" t="s">
        <v>640</v>
      </c>
      <c r="I48" t="str">
        <f t="shared" ref="I48:I59" si="17">IF(H48="IN",IF(A48="FUT",mrigxl_getIndexFuturesQuote(B48,E48,"lastPrice"),mrigxl_getIndexOptionQuote(B48,E48,D48,A48,$H$1)),IF(A48="FUT",mrigxl_getStockFuturesQuote(B48,E48,"lastPrice"),mrigxl_getStockOptionQuote(B48,E48,D48,A48,$H$1)))</f>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8" t="s">
        <v>568</v>
      </c>
      <c r="AZ48" t="s">
        <v>712</v>
      </c>
      <c r="BA48" s="32" t="s">
        <v>754</v>
      </c>
      <c r="BB48">
        <v>300</v>
      </c>
      <c r="BC48">
        <v>3338.63</v>
      </c>
      <c r="BD48" s="32">
        <v>3010.55</v>
      </c>
      <c r="BE48">
        <v>-98422.5</v>
      </c>
      <c r="BF48">
        <v>-9.83</v>
      </c>
    </row>
    <row r="49" spans="1:58">
      <c r="A49" s="48" t="s">
        <v>481</v>
      </c>
      <c r="B49" s="48" t="s">
        <v>502</v>
      </c>
      <c r="C49" s="48" t="str">
        <f>IF(OR(B49="NIFTY",B49="BANKNIFTY"),mrigxl_getIndexQuote(VLOOKUP(B49,Lots!$B:$C,2,0)),_xlfn.NUMBERVALUE(mrigxl_getStockQuote(B49)))</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49" s="48">
        <v>17400</v>
      </c>
      <c r="E49" s="117">
        <v>44707</v>
      </c>
      <c r="F49" s="48" t="str">
        <f t="shared" si="16"/>
        <v>CENIFTY1740044707</v>
      </c>
      <c r="G49" s="48" t="e">
        <f t="shared" si="1"/>
        <v>#VALUE!</v>
      </c>
      <c r="H49" t="s">
        <v>640</v>
      </c>
      <c r="I49" t="str">
        <f t="shared" si="17"/>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49" t="s">
        <v>568</v>
      </c>
      <c r="AZ49" t="s">
        <v>762</v>
      </c>
      <c r="BA49" s="32" t="s">
        <v>425</v>
      </c>
      <c r="BB49">
        <v>1</v>
      </c>
      <c r="BC49">
        <v>3753.75</v>
      </c>
      <c r="BD49" s="32">
        <v>3774.15</v>
      </c>
      <c r="BE49">
        <v>20.399999999999999</v>
      </c>
      <c r="BF49">
        <v>0.54</v>
      </c>
    </row>
    <row r="50" spans="1:58">
      <c r="A50" s="48" t="s">
        <v>481</v>
      </c>
      <c r="B50" s="48" t="s">
        <v>502</v>
      </c>
      <c r="C50" s="48" t="str">
        <f>IF(OR(B50="NIFTY",B50="BANKNIFTY"),mrigxl_getIndexQuote(VLOOKUP(B50,Lots!$B:$C,2,0)),_xlfn.NUMBERVALUE(mrigxl_getStockQuote(B50)))</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50" s="48">
        <v>17300</v>
      </c>
      <c r="E50" s="117">
        <v>44707</v>
      </c>
      <c r="F50" s="48" t="str">
        <f t="shared" si="16"/>
        <v>CENIFTY1730044707</v>
      </c>
      <c r="G50" s="48" t="e">
        <f t="shared" si="1"/>
        <v>#VALUE!</v>
      </c>
      <c r="H50" t="s">
        <v>640</v>
      </c>
      <c r="I50" t="str">
        <f t="shared" si="17"/>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50" t="s">
        <v>568</v>
      </c>
      <c r="AZ50" t="s">
        <v>762</v>
      </c>
      <c r="BA50" s="32" t="s">
        <v>101</v>
      </c>
      <c r="BB50">
        <v>10</v>
      </c>
      <c r="BC50">
        <v>192.4</v>
      </c>
      <c r="BD50" s="32">
        <v>192</v>
      </c>
      <c r="BE50">
        <v>-4</v>
      </c>
      <c r="BF50">
        <v>-0.21</v>
      </c>
    </row>
    <row r="51" spans="1:58">
      <c r="A51" s="48" t="s">
        <v>481</v>
      </c>
      <c r="B51" s="48" t="s">
        <v>126</v>
      </c>
      <c r="C51" s="48" t="e">
        <f>IF(OR(B51="NIFTY",B51="BANKNIFTY"),mrigxl_getIndexQuote(VLOOKUP(B51,Lots!$B:$C,2,0)),_xlfn.NUMBERVALUE(mrigxl_getStockQuote(B51)))</f>
        <v>#VALUE!</v>
      </c>
      <c r="D51" s="48">
        <v>260</v>
      </c>
      <c r="E51" s="117">
        <v>44707</v>
      </c>
      <c r="F51" s="48" t="str">
        <f>TRIM(A51)&amp;TRIM(B51)&amp;TRIM(D51)&amp;TRIM(E51)</f>
        <v>CEIEX26044707</v>
      </c>
      <c r="G51" s="48" t="e">
        <f t="shared" ref="G51:G65" si="18">IF(H51="IN",VALUE(IF(A51="FUT",mrigxl_getIndexFuturesQuote(B51,E51,"lastPrice"),mrigxl_getIndexOptionQuote(B51,E51,D51,A51,$H$1))),VALUE(IF(A51="FUT",mrigxl_getStockFuturesQuote(B51,E51,"lastPrice"),mrigxl_getStockOptionQuote(B51,E51,D51,A51,$H$1))))</f>
        <v>#VALUE!</v>
      </c>
      <c r="H51" t="s">
        <v>641</v>
      </c>
      <c r="I51" t="str">
        <f t="shared" si="17"/>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51" t="s">
        <v>586</v>
      </c>
      <c r="AZ51" t="s">
        <v>762</v>
      </c>
      <c r="BA51" s="32" t="s">
        <v>7</v>
      </c>
      <c r="BB51">
        <v>-4</v>
      </c>
      <c r="BC51">
        <v>1085.8</v>
      </c>
      <c r="BD51" s="32">
        <v>1089.8499999999999</v>
      </c>
      <c r="BE51">
        <v>-16.2</v>
      </c>
      <c r="BF51">
        <v>0.37</v>
      </c>
    </row>
    <row r="52" spans="1:58">
      <c r="A52" s="48" t="s">
        <v>481</v>
      </c>
      <c r="B52" s="48" t="s">
        <v>506</v>
      </c>
      <c r="C52" s="48" t="str">
        <f>IF(OR(B52="NIFTY",B52="BANKNIFTY"),mrigxl_getIndexQuote(VLOOKUP(B52,Lots!$B:$C,2,0)),_xlfn.NUMBERVALUE(mrigxl_getStockQuote(B52)))</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52" s="48">
        <v>40000</v>
      </c>
      <c r="E52" s="117">
        <v>44707</v>
      </c>
      <c r="F52" s="48" t="str">
        <f>TRIM(A52)&amp;TRIM(B52)&amp;TRIM(D52)&amp;TRIM(E52)</f>
        <v>CEBANKNIFTY4000044707</v>
      </c>
      <c r="G52" s="48" t="e">
        <f t="shared" si="18"/>
        <v>#VALUE!</v>
      </c>
      <c r="H52" t="s">
        <v>640</v>
      </c>
      <c r="I52" t="str">
        <f t="shared" si="17"/>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52" t="s">
        <v>582</v>
      </c>
      <c r="AZ52" t="s">
        <v>762</v>
      </c>
      <c r="BA52" s="32" t="s">
        <v>366</v>
      </c>
      <c r="BB52">
        <v>2</v>
      </c>
      <c r="BC52">
        <v>548</v>
      </c>
      <c r="BD52" s="32">
        <v>549.25</v>
      </c>
      <c r="BE52">
        <v>2.5</v>
      </c>
      <c r="BF52">
        <v>0.23</v>
      </c>
    </row>
    <row r="53" spans="1:58">
      <c r="A53" s="48" t="s">
        <v>481</v>
      </c>
      <c r="B53" s="48" t="s">
        <v>506</v>
      </c>
      <c r="C53" s="48" t="str">
        <f>IF(OR(B53="NIFTY",B53="BANKNIFTY"),mrigxl_getIndexQuote(VLOOKUP(B53,Lots!$B:$C,2,0)),_xlfn.NUMBERVALUE(mrigxl_getStockQuote(B53)))</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53" s="48">
        <v>38000</v>
      </c>
      <c r="E53" s="117">
        <v>44707</v>
      </c>
      <c r="F53" s="48" t="str">
        <f t="shared" ref="F53:F55" si="19">TRIM(A53)&amp;TRIM(B53)&amp;TRIM(D53)&amp;TRIM(E53)</f>
        <v>CEBANKNIFTY3800044707</v>
      </c>
      <c r="G53" s="48" t="e">
        <f t="shared" si="18"/>
        <v>#VALUE!</v>
      </c>
      <c r="H53" t="s">
        <v>640</v>
      </c>
      <c r="I53" t="str">
        <f t="shared" si="17"/>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445, in getIndexOptionQuote
    quote = mu.getIndexOptionQuote(symbol,expiry,strike,opt_type)
  File "g:\mrig analytics\mriganalytics\interface\pyxcel.py", line 121, in mrigxl_getIndexOptionQuote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53" t="s">
        <v>582</v>
      </c>
      <c r="AZ53" t="s">
        <v>762</v>
      </c>
      <c r="BA53" s="32" t="s">
        <v>104</v>
      </c>
      <c r="BB53">
        <v>1</v>
      </c>
      <c r="BC53">
        <v>2483.25</v>
      </c>
      <c r="BD53" s="32">
        <v>2497.8000000000002</v>
      </c>
      <c r="BE53">
        <v>14.55</v>
      </c>
      <c r="BF53">
        <v>0.59</v>
      </c>
    </row>
    <row r="54" spans="1:58">
      <c r="A54" s="48" t="s">
        <v>481</v>
      </c>
      <c r="B54" s="48" t="s">
        <v>126</v>
      </c>
      <c r="C54" s="48" t="e">
        <f>IF(OR(B54="NIFTY",B54="BANKNIFTY"),mrigxl_getIndexQuote(VLOOKUP(B54,Lots!$B:$C,2,0)),_xlfn.NUMBERVALUE(mrigxl_getStockQuote(B54)))</f>
        <v>#VALUE!</v>
      </c>
      <c r="D54" s="48">
        <v>240</v>
      </c>
      <c r="E54" s="117">
        <v>44707</v>
      </c>
      <c r="F54" s="48" t="str">
        <f>TRIM(A54)&amp;TRIM(B54)&amp;TRIM(D54)&amp;TRIM(E54)</f>
        <v>CEIEX24044707</v>
      </c>
      <c r="G54" s="48" t="e">
        <f>IF(H54="IN",VALUE(IF(A54="FUT",mrigxl_getIndexFuturesQuote(B54,E54,"lastPrice"),mrigxl_getIndexOptionQuote(B54,E54,D54,A54,$H$1))),VALUE(IF(A54="FUT",mrigxl_getStockFuturesQuote(B54,E54,"lastPrice"),mrigxl_getStockOptionQuote(B54,E54,D54,A54,$H$1))))</f>
        <v>#VALUE!</v>
      </c>
      <c r="H54" t="s">
        <v>641</v>
      </c>
      <c r="I54" t="str">
        <f t="shared" si="17"/>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54" t="s">
        <v>587</v>
      </c>
      <c r="AZ54" t="s">
        <v>762</v>
      </c>
      <c r="BA54" s="32" t="s">
        <v>396</v>
      </c>
      <c r="BB54">
        <v>5</v>
      </c>
      <c r="BC54">
        <v>292.95</v>
      </c>
      <c r="BD54" s="32">
        <v>290.85000000000002</v>
      </c>
      <c r="BE54">
        <v>-10.5</v>
      </c>
      <c r="BF54">
        <v>-0.72</v>
      </c>
    </row>
    <row r="55" spans="1:58">
      <c r="A55" s="48" t="s">
        <v>481</v>
      </c>
      <c r="B55" s="48" t="s">
        <v>90</v>
      </c>
      <c r="C55" s="48" t="e">
        <f>IF(OR(B55="NIFTY",B55="BANKNIFTY"),mrigxl_getIndexQuote(VLOOKUP(B55,Lots!$B:$C,2,0)),_xlfn.NUMBERVALUE(mrigxl_getStockQuote(B55)))</f>
        <v>#VALUE!</v>
      </c>
      <c r="D55" s="48">
        <v>4040</v>
      </c>
      <c r="E55" s="117">
        <v>44679</v>
      </c>
      <c r="F55" s="48" t="str">
        <f t="shared" si="19"/>
        <v>CETCS404044679</v>
      </c>
      <c r="G55" s="48" t="e">
        <f t="shared" si="18"/>
        <v>#VALUE!</v>
      </c>
      <c r="H55" t="s">
        <v>641</v>
      </c>
      <c r="I55" t="str">
        <f t="shared" si="17"/>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55" t="s">
        <v>582</v>
      </c>
      <c r="AZ55" t="s">
        <v>762</v>
      </c>
      <c r="BA55" s="32" t="s">
        <v>763</v>
      </c>
      <c r="BB55">
        <v>5</v>
      </c>
      <c r="BC55">
        <v>166.9</v>
      </c>
      <c r="BD55" s="32">
        <v>165.1</v>
      </c>
      <c r="BE55">
        <v>-9</v>
      </c>
      <c r="BF55">
        <v>-1.08</v>
      </c>
    </row>
    <row r="56" spans="1:58">
      <c r="A56" s="48" t="s">
        <v>632</v>
      </c>
      <c r="B56" s="48" t="s">
        <v>90</v>
      </c>
      <c r="C56" s="48" t="e">
        <f>IF(OR(B56="NIFTY",B56="BANKNIFTY"),mrigxl_getIndexQuote(VLOOKUP(B56,Lots!$B:$C,2,0)),_xlfn.NUMBERVALUE(mrigxl_getStockQuote(B56)))</f>
        <v>#VALUE!</v>
      </c>
      <c r="E56" s="117">
        <v>44707</v>
      </c>
      <c r="F56" s="48" t="str">
        <f>TRIM(A56)&amp;TRIM(B56)&amp;TRIM(D56)&amp;TRIM(E56)</f>
        <v>FUTTCS44707</v>
      </c>
      <c r="G56" s="48" t="e">
        <f>IF(H56="IN",VALUE(IF(A56="FUT",mrigxl_getIndexFuturesQuote(B56,E56,"lastPrice"),mrigxl_getIndexOptionQuote(B56,E56,D56,A56,$H$1))),VALUE(IF(A56="FUT",mrigxl_getStockFuturesQuote(B56,E56,"lastPrice"),mrigxl_getStockOptionQuote(B56,E56,D56,A56,$H$1))))</f>
        <v>#VALUE!</v>
      </c>
      <c r="H56" t="s">
        <v>641</v>
      </c>
      <c r="I56" t="str">
        <f t="shared" si="17"/>
        <v>pywintypes.com_error: (-2147417856, 'System call failed.', None, None)
    obj, userName=obj.GetTypeInfo().GetDocumentation(-1)[0]
  File "C:\anaconda\lib\site-packages\xlwings\server.py", line 107, in FromVariant
    args = tuple(FromVariant(arg) for arg in args)
  File "C:\anaconda\lib\site-packages\xlwings\server.py", line 229, in &lt;genexpr&gt;
    args = tuple(FromVariant(arg) for arg in args)
  File "C:\anaconda\lib\site-packages\xlwings\server.py", line 229,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56" t="s">
        <v>584</v>
      </c>
      <c r="AZ56" t="s">
        <v>762</v>
      </c>
      <c r="BA56" s="32" t="s">
        <v>410</v>
      </c>
      <c r="BB56">
        <v>20</v>
      </c>
      <c r="BC56">
        <v>102.9</v>
      </c>
      <c r="BD56" s="32">
        <v>101.65</v>
      </c>
      <c r="BE56">
        <v>-25</v>
      </c>
      <c r="BF56">
        <v>-1.21</v>
      </c>
    </row>
    <row r="57" spans="1:58">
      <c r="A57" s="48" t="s">
        <v>482</v>
      </c>
      <c r="B57" s="48" t="s">
        <v>284</v>
      </c>
      <c r="C57" s="48" t="e">
        <f>IF(OR(B57="NIFTY",B57="BANKNIFTY"),mrigxl_getIndexQuote(VLOOKUP(B57,Lots!$B:$C,2,0)),_xlfn.NUMBERVALUE(mrigxl_getStockQuote(B57)))</f>
        <v>#VALUE!</v>
      </c>
      <c r="D57" s="48">
        <v>400</v>
      </c>
      <c r="E57" s="117">
        <v>44707</v>
      </c>
      <c r="F57" s="48" t="str">
        <f>TRIM(A57)&amp;TRIM(B57)&amp;TRIM(D57)&amp;TRIM(E57)</f>
        <v>PETATAMOTORS40044707</v>
      </c>
      <c r="G57" s="48" t="e">
        <f t="shared" si="18"/>
        <v>#VALUE!</v>
      </c>
      <c r="H57" t="s">
        <v>641</v>
      </c>
      <c r="I57" t="str">
        <f t="shared" si="17"/>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394, in getStockOptionQuote
    quote = mu.getStockOptionQuote(symbol,expiry,strike,opt_type)
  File "g:\mrig analytics\mriganalytics\interface\pyxcel.py", line 110, in mrigxl_getStockOptionQuote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57" t="s">
        <v>582</v>
      </c>
      <c r="AZ57" t="s">
        <v>762</v>
      </c>
      <c r="BA57" s="32" t="s">
        <v>433</v>
      </c>
      <c r="BB57">
        <v>10</v>
      </c>
      <c r="BC57">
        <v>121.05</v>
      </c>
      <c r="BD57" s="32">
        <v>121.3</v>
      </c>
      <c r="BE57">
        <v>2.5</v>
      </c>
      <c r="BF57">
        <v>0.21</v>
      </c>
    </row>
    <row r="58" spans="1:58">
      <c r="A58" s="48" t="s">
        <v>632</v>
      </c>
      <c r="B58" s="48" t="s">
        <v>284</v>
      </c>
      <c r="C58" s="48" t="e">
        <f>IF(OR(B58="NIFTY",B58="BANKNIFTY"),mrigxl_getIndexQuote(VLOOKUP(B58,Lots!$B:$C,2,0)),_xlfn.NUMBERVALUE(mrigxl_getStockQuote(B58)))</f>
        <v>#VALUE!</v>
      </c>
      <c r="E58" s="117">
        <v>44707</v>
      </c>
      <c r="F58" s="48" t="str">
        <f t="shared" ref="F58" si="20">TRIM(A58)&amp;TRIM(B58)&amp;TRIM(D58)&amp;TRIM(E58)</f>
        <v>FUTTATAMOTORS44707</v>
      </c>
      <c r="G58" s="48" t="e">
        <f t="shared" si="18"/>
        <v>#VALUE!</v>
      </c>
      <c r="H58" t="s">
        <v>641</v>
      </c>
      <c r="I58" t="str">
        <f t="shared" si="17"/>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419, in getStockFuturesQuote
    quote = mu.getStockFuturesQuote(symbol,exp)
  File "g:\mrig analytics\mriganalytics\interface\pyxcel.py", line 148, in mrigxl_getStockFuturesQuote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58" t="s">
        <v>584</v>
      </c>
      <c r="AZ58" t="s">
        <v>762</v>
      </c>
      <c r="BA58" s="32" t="s">
        <v>764</v>
      </c>
      <c r="BB58">
        <v>1</v>
      </c>
      <c r="BC58">
        <v>850.1</v>
      </c>
      <c r="BD58" s="32">
        <v>834.8</v>
      </c>
      <c r="BE58">
        <v>-15.3</v>
      </c>
      <c r="BF58">
        <v>-1.8</v>
      </c>
    </row>
    <row r="59" spans="1:58">
      <c r="A59" s="48" t="s">
        <v>482</v>
      </c>
      <c r="B59" s="48" t="s">
        <v>130</v>
      </c>
      <c r="C59" s="48" t="e">
        <f>IF(OR(B59="NIFTY",B59="BANKNIFTY"),mrigxl_getIndexQuote(VLOOKUP(B59,Lots!$B:$C,2,0)),_xlfn.NUMBERVALUE(mrigxl_getStockQuote(B59)))</f>
        <v>#VALUE!</v>
      </c>
      <c r="D59" s="48">
        <v>230</v>
      </c>
      <c r="E59" s="117">
        <v>44707</v>
      </c>
      <c r="F59" s="48" t="str">
        <f>TRIM(A59)&amp;TRIM(B59)&amp;TRIM(D59)&amp;TRIM(E59)</f>
        <v>PETATAPOWER23044707</v>
      </c>
      <c r="G59" s="48" t="e">
        <f t="shared" si="18"/>
        <v>#VALUE!</v>
      </c>
      <c r="H59" t="s">
        <v>641</v>
      </c>
      <c r="I59" t="str">
        <f t="shared" si="17"/>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394, in getStockOptionQuote
    quote = mu.getStockOptionQuote(symbol,expiry,strike,opt_type)
  File "g:\mrig analytics\mriganalytics\interface\pyxcel.py", line 110, in mrigxl_getStockOptionQuote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59" t="s">
        <v>584</v>
      </c>
    </row>
    <row r="60" spans="1:58">
      <c r="A60" s="48" t="s">
        <v>632</v>
      </c>
      <c r="B60" s="48" t="s">
        <v>399</v>
      </c>
      <c r="C60" s="48" t="e">
        <f>IF(OR(B60="NIFTY",B60="BANKNIFTY"),mrigxl_getIndexQuote(VLOOKUP(B60,Lots!$B:$C,2,0)),_xlfn.NUMBERVALUE(mrigxl_getStockQuote(B60)))</f>
        <v>#VALUE!</v>
      </c>
      <c r="E60" s="117">
        <v>44707</v>
      </c>
      <c r="F60" s="48" t="str">
        <f t="shared" ref="F60:F61" si="21">TRIM(A60)&amp;TRIM(B60)&amp;TRIM(D60)&amp;TRIM(E60)</f>
        <v>FUTLT44707</v>
      </c>
      <c r="G60" s="48" t="e">
        <f t="shared" si="18"/>
        <v>#VALUE!</v>
      </c>
      <c r="H60" t="s">
        <v>641</v>
      </c>
      <c r="I60" t="str">
        <f t="shared" ref="I60:I64" si="22">IF(H60="IN",IF(A60="FUT",mrigxl_getIndexFuturesQuote(B60,E60,"lastPrice"),mrigxl_getIndexOptionQuote(B60,E60,D60,A60,$H$1)),IF(A60="FUT",mrigxl_getStockFuturesQuote(B60,E60,"lastPrice"),mrigxl_getStockOptionQuote(B60,E60,D60,A60,$H$1)))</f>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419, in getStockFuturesQuote
    quote = mu.getStockFuturesQuote(symbol,exp)
  File "g:\mrig analytics\mriganalytics\interface\pyxcel.py", line 148, in mrigxl_getStockFuturesQuote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60" t="s">
        <v>584</v>
      </c>
    </row>
    <row r="61" spans="1:58">
      <c r="A61" s="48" t="s">
        <v>481</v>
      </c>
      <c r="B61" s="48" t="s">
        <v>399</v>
      </c>
      <c r="C61" s="48" t="e">
        <f>IF(OR(B61="NIFTY",B61="BANKNIFTY"),mrigxl_getIndexQuote(VLOOKUP(B61,Lots!$B:$C,2,0)),_xlfn.NUMBERVALUE(mrigxl_getStockQuote(B61)))</f>
        <v>#VALUE!</v>
      </c>
      <c r="D61" s="48">
        <v>1800</v>
      </c>
      <c r="E61" s="117">
        <v>44707</v>
      </c>
      <c r="F61" s="48" t="str">
        <f t="shared" si="21"/>
        <v>CELT180044707</v>
      </c>
      <c r="G61" s="48" t="e">
        <f t="shared" si="18"/>
        <v>#VALUE!</v>
      </c>
      <c r="H61" t="s">
        <v>641</v>
      </c>
      <c r="I61" t="str">
        <f t="shared" si="22"/>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394, in getStockOptionQuote
    quote = mu.getStockOptionQuote(symbol,expiry,strike,opt_type)
  File "g:\mrig analytics\mriganalytics\interface\pyxcel.py", line 110, in mrigxl_getStockOptionQuote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61" t="s">
        <v>582</v>
      </c>
    </row>
    <row r="62" spans="1:58">
      <c r="A62" s="48" t="s">
        <v>481</v>
      </c>
      <c r="B62" s="48" t="s">
        <v>130</v>
      </c>
      <c r="C62" s="48" t="e">
        <f>IF(OR(B62="NIFTY",B62="BANKNIFTY"),mrigxl_getIndexQuote(VLOOKUP(B62,Lots!$B:$C,2,0)),_xlfn.NUMBERVALUE(mrigxl_getStockQuote(B62)))</f>
        <v>#VALUE!</v>
      </c>
      <c r="D62" s="48">
        <v>310</v>
      </c>
      <c r="E62" s="117">
        <v>44707</v>
      </c>
      <c r="F62" s="48" t="str">
        <f>TRIM(A62)&amp;TRIM(B62)&amp;TRIM(D62)&amp;TRIM(E62)</f>
        <v>CETATAPOWER31044707</v>
      </c>
      <c r="G62" s="48" t="e">
        <f t="shared" si="18"/>
        <v>#VALUE!</v>
      </c>
      <c r="H62" t="s">
        <v>641</v>
      </c>
      <c r="I62" t="str">
        <f t="shared" si="22"/>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394, in getStockOptionQuote
    quote = mu.getStockOptionQuote(symbol,expiry,strike,opt_type)
  File "g:\mrig analytics\mriganalytics\interface\pyxcel.py", line 110, in mrigxl_getStockOptionQuote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62" t="s">
        <v>584</v>
      </c>
    </row>
    <row r="63" spans="1:58">
      <c r="A63" s="48" t="s">
        <v>481</v>
      </c>
      <c r="B63" s="48" t="s">
        <v>130</v>
      </c>
      <c r="C63" s="48" t="e">
        <f>IF(OR(B63="NIFTY",B63="BANKNIFTY"),mrigxl_getIndexQuote(VLOOKUP(B63,Lots!$B:$C,2,0)),_xlfn.NUMBERVALUE(mrigxl_getStockQuote(B63)))</f>
        <v>#VALUE!</v>
      </c>
      <c r="D63" s="48">
        <v>315</v>
      </c>
      <c r="E63" s="117">
        <v>44707</v>
      </c>
      <c r="F63" s="48" t="str">
        <f>TRIM(A63)&amp;TRIM(B63)&amp;TRIM(D63)&amp;TRIM(E63)</f>
        <v>CETATAPOWER31544707</v>
      </c>
      <c r="G63" s="48" t="e">
        <f t="shared" si="18"/>
        <v>#VALUE!</v>
      </c>
      <c r="H63" t="s">
        <v>641</v>
      </c>
      <c r="I63" t="str">
        <f t="shared" si="22"/>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394, in getStockOptionQuote
    quote = mu.getStockOptionQuote(symbol,expiry,strike,opt_type)
  File "g:\mrig analytics\mriganalytics\interface\pyxcel.py", line 110, in mrigxl_getStockOptionQuote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63" t="s">
        <v>584</v>
      </c>
    </row>
    <row r="64" spans="1:58">
      <c r="A64" s="48" t="s">
        <v>481</v>
      </c>
      <c r="B64" s="48" t="s">
        <v>130</v>
      </c>
      <c r="C64" s="48" t="e">
        <f>IF(OR(B64="NIFTY",B64="BANKNIFTY"),mrigxl_getIndexQuote(VLOOKUP(B64,Lots!$B:$C,2,0)),_xlfn.NUMBERVALUE(mrigxl_getStockQuote(B64)))</f>
        <v>#VALUE!</v>
      </c>
      <c r="D64" s="48">
        <v>320</v>
      </c>
      <c r="E64" s="117">
        <v>44707</v>
      </c>
      <c r="F64" s="48" t="str">
        <f>TRIM(A64)&amp;TRIM(B64)&amp;TRIM(D64)&amp;TRIM(E64)</f>
        <v>CETATAPOWER32044707</v>
      </c>
      <c r="G64" s="48" t="e">
        <f t="shared" si="18"/>
        <v>#VALUE!</v>
      </c>
      <c r="H64" t="s">
        <v>641</v>
      </c>
      <c r="I64" t="str">
        <f t="shared" si="22"/>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394, in getStockOptionQuote
    quote = mu.getStockOptionQuote(symbol,expiry,strike,opt_type)
  File "g:\mrig analytics\mriganalytics\interface\pyxcel.py", line 110, in mrigxl_getStockOptionQuote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64" t="s">
        <v>584</v>
      </c>
    </row>
    <row r="65" spans="1:21">
      <c r="A65" s="48" t="s">
        <v>481</v>
      </c>
      <c r="B65" s="48" t="s">
        <v>130</v>
      </c>
      <c r="C65" s="48" t="e">
        <f>IF(OR(B65="NIFTY",B65="BANKNIFTY"),mrigxl_getIndexQuote(VLOOKUP(B65,Lots!$B:$C,2,0)),_xlfn.NUMBERVALUE(mrigxl_getStockQuote(B65)))</f>
        <v>#VALUE!</v>
      </c>
      <c r="D65" s="48">
        <v>295</v>
      </c>
      <c r="E65" s="117">
        <v>44707</v>
      </c>
      <c r="F65" s="48" t="str">
        <f>TRIM(A65)&amp;TRIM(B65)&amp;TRIM(D65)&amp;TRIM(E65)</f>
        <v>CETATAPOWER29544707</v>
      </c>
      <c r="G65" s="48" t="e">
        <f t="shared" si="18"/>
        <v>#VALUE!</v>
      </c>
      <c r="H65" t="s">
        <v>641</v>
      </c>
      <c r="I65" t="str">
        <f t="shared" ref="I65" si="23">IF(H65="IN",IF(A65="FUT",mrigxl_getIndexFuturesQuote(B65,E65,"lastPrice"),mrigxl_getIndexOptionQuote(B65,E65,D65,A65,$H$1)),IF(A65="FUT",mrigxl_getStockFuturesQuote(B65,E65,"lastPrice"),mrigxl_getStockOptionQuote(B65,E65,D65,A65,$H$1)))</f>
        <v>requests.exceptions.TooManyRedirects: Exceeded 30 redirects.
    raise TooManyRedirects(
  File "C:\anaconda\lib\site-packages\requests\sessions.py", line 191, in resolve_redirects
    history = [resp for resp in gen]
  File "C:\anaconda\lib\site-packages\requests\sessions.py", line 723, in &lt;listcomp&gt;
    history = [resp for resp in gen]
  File "C:\anaconda\lib\site-packages\requests\sessions.py", line 723, in send
    resp = self.send(prep, **send_kwargs)
  File "C:\anaconda\lib\site-packages\requests\sessions.py", line 587, in request
    return self.request("GET", url, **kwargs)
  File "C:\anaconda\lib\site-packages\requests\sessions.py", line 600, in get
    return self.session.get(url, params=kwargs, proxies = self.proxy )
  File "C:\anaconda\lib\site-packages\nsepy\commons.py", line 167, in __call__
    res = quote_derivative_url(
  File "C:\anaconda\lib\site-packages\nsepy\live.py", line 51, in get_quote
    stockOptionQuote = nsepy.get_quote(symbol=quote(symbol, safe=''),
  File "g:\mrig analytics\mriganalytics\interface\..\mrigutilities.py", line 394, in getStockOptionQuote
    quote = mu.getStockOptionQuote(symbol,expiry,strike,opt_type)
  File "g:\mrig analytics\mriganalytics\interface\pyxcel.py", line 110, in mrigxl_getStockOptionQuote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U65" t="s">
        <v>584</v>
      </c>
    </row>
    <row r="66" spans="1:21">
      <c r="A66" s="48" t="s">
        <v>482</v>
      </c>
      <c r="B66" s="48" t="s">
        <v>284</v>
      </c>
      <c r="C66" s="48" t="e">
        <f>IF(OR(B66="NIFTY",B66="BANKNIFTY"),mrigxl_getIndexQuote(VLOOKUP(B66,Lots!$B:$C,2,0)),_xlfn.NUMBERVALUE(mrigxl_getStockQuote(B66)))</f>
        <v>#VALUE!</v>
      </c>
      <c r="D66" s="48">
        <v>410</v>
      </c>
      <c r="E66" s="117">
        <v>44707</v>
      </c>
      <c r="F66" s="48" t="str">
        <f>TRIM(A66)&amp;TRIM(B66)&amp;TRIM(D66)&amp;TRIM(E66)</f>
        <v>PETATAMOTORS41044707</v>
      </c>
      <c r="G66" s="48" t="e">
        <f t="shared" ref="G66" si="24">IF(H66="IN",VALUE(IF(A66="FUT",mrigxl_getIndexFuturesQuote(B66,E66,"lastPrice"),mrigxl_getIndexOptionQuote(B66,E66,D66,A66,$H$1))),VALUE(IF(A66="FUT",mrigxl_getStockFuturesQuote(B66,E66,"lastPrice"),mrigxl_getStockOptionQuote(B66,E66,D66,A66,$H$1))))</f>
        <v>#VALUE!</v>
      </c>
    </row>
    <row r="67" spans="1:21">
      <c r="A67" s="48" t="s">
        <v>481</v>
      </c>
      <c r="B67" s="48" t="s">
        <v>284</v>
      </c>
      <c r="C67" s="48" t="e">
        <f>IF(OR(B67="NIFTY",B67="BANKNIFTY"),mrigxl_getIndexQuote(VLOOKUP(B67,Lots!$B:$C,2,0)),_xlfn.NUMBERVALUE(mrigxl_getStockQuote(B67)))</f>
        <v>#VALUE!</v>
      </c>
      <c r="D67" s="48">
        <v>460</v>
      </c>
      <c r="E67" s="117">
        <v>44707</v>
      </c>
      <c r="F67" s="48" t="str">
        <f t="shared" ref="F67:F70" si="25">TRIM(A67)&amp;TRIM(B67)&amp;TRIM(D67)&amp;TRIM(E67)</f>
        <v>CETATAMOTORS46044707</v>
      </c>
      <c r="G67" s="48" t="e">
        <f t="shared" ref="G67:G69" si="26">IF(H67="IN",VALUE(IF(A67="FUT",mrigxl_getIndexFuturesQuote(B67,E67,"lastPrice"),mrigxl_getIndexOptionQuote(B67,E67,D67,A67,$H$1))),VALUE(IF(A67="FUT",mrigxl_getStockFuturesQuote(B67,E67,"lastPrice"),mrigxl_getStockOptionQuote(B67,E67,D67,A67,$H$1))))</f>
        <v>#VALUE!</v>
      </c>
    </row>
    <row r="68" spans="1:21">
      <c r="A68" s="48" t="s">
        <v>481</v>
      </c>
      <c r="B68" s="48" t="s">
        <v>284</v>
      </c>
      <c r="C68" s="48" t="e">
        <f>IF(OR(B68="NIFTY",B68="BANKNIFTY"),mrigxl_getIndexQuote(VLOOKUP(B68,Lots!$B:$C,2,0)),_xlfn.NUMBERVALUE(mrigxl_getStockQuote(B68)))</f>
        <v>#VALUE!</v>
      </c>
      <c r="D68" s="48">
        <v>470</v>
      </c>
      <c r="E68" s="117">
        <v>44707</v>
      </c>
      <c r="F68" s="48" t="str">
        <f t="shared" si="25"/>
        <v>CETATAMOTORS47044707</v>
      </c>
      <c r="G68" s="48" t="e">
        <f t="shared" si="26"/>
        <v>#VALUE!</v>
      </c>
    </row>
    <row r="69" spans="1:21">
      <c r="A69" s="48" t="s">
        <v>482</v>
      </c>
      <c r="B69" s="48" t="s">
        <v>126</v>
      </c>
      <c r="C69" s="48" t="e">
        <f>IF(OR(B69="NIFTY",B69="BANKNIFTY"),mrigxl_getIndexQuote(VLOOKUP(B69,Lots!$B:$C,2,0)),_xlfn.NUMBERVALUE(mrigxl_getStockQuote(B69)))</f>
        <v>#VALUE!</v>
      </c>
      <c r="D69" s="48">
        <v>220</v>
      </c>
      <c r="E69" s="117">
        <v>44707</v>
      </c>
      <c r="F69" s="48" t="str">
        <f t="shared" si="25"/>
        <v>PEIEX22044707</v>
      </c>
      <c r="G69" s="48" t="e">
        <f t="shared" si="26"/>
        <v>#VALUE!</v>
      </c>
    </row>
    <row r="70" spans="1:21">
      <c r="A70" s="48" t="s">
        <v>481</v>
      </c>
      <c r="B70" s="48" t="s">
        <v>284</v>
      </c>
      <c r="C70" s="48" t="e">
        <f>IF(OR(B70="NIFTY",B70="BANKNIFTY"),mrigxl_getIndexQuote(VLOOKUP(B70,Lots!$B:$C,2,0)),_xlfn.NUMBERVALUE(mrigxl_getStockQuote(B70)))</f>
        <v>#VALUE!</v>
      </c>
      <c r="D70" s="48">
        <v>500</v>
      </c>
      <c r="E70" s="117">
        <v>44707</v>
      </c>
      <c r="F70" s="48" t="str">
        <f t="shared" si="25"/>
        <v>CETATAMOTORS50044707</v>
      </c>
      <c r="G70" s="48" t="e">
        <f>IF(H70="IN",VALUE(IF(A70="FUT",mrigxl_getIndexFuturesQuote(B70,E70,"lastPrice"),mrigxl_getIndexOptionQuote(B70,E70,D70,A70,$H$1))),VALUE(IF(A70="FUT",mrigxl_getStockFuturesQuote(B70,E70,"lastPrice"),mrigxl_getStockOptionQuote(B70,E70,D70,A70,$H$1))))</f>
        <v>#VALUE!</v>
      </c>
    </row>
    <row r="71" spans="1:21">
      <c r="A71" s="48" t="s">
        <v>482</v>
      </c>
      <c r="B71" s="48" t="s">
        <v>506</v>
      </c>
      <c r="C71" s="48" t="str">
        <f>IF(OR(B71="NIFTY",B71="BANKNIFTY"),mrigxl_getIndexQuote(VLOOKUP(B71,Lots!$B:$C,2,0)),_xlfn.NUMBERVALUE(mrigxl_getStockQuote(B71)))</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D71" s="48">
        <v>35000</v>
      </c>
      <c r="E71" s="117">
        <v>44707</v>
      </c>
      <c r="F71" s="48" t="str">
        <f t="shared" ref="F71" si="27">TRIM(A71)&amp;TRIM(B71)&amp;TRIM(D71)&amp;TRIM(E71)</f>
        <v>PEBANKNIFTY3500044707</v>
      </c>
      <c r="G71" s="48" t="e">
        <f t="shared" ref="G71:G73" si="28">IF(H71="IN",VALUE(IF(A71="FUT",mrigxl_getIndexFuturesQuote(B71,E71,"lastPrice"),mrigxl_getIndexOptionQuote(B71,E71,D71,A71,$H$1))),VALUE(IF(A71="FUT",mrigxl_getStockFuturesQuote(B71,E71,"lastPrice"),mrigxl_getStockOptionQuote(B71,E71,D71,A71,$H$1))))</f>
        <v>#VALUE!</v>
      </c>
    </row>
    <row r="72" spans="1:21">
      <c r="A72" s="48" t="s">
        <v>632</v>
      </c>
      <c r="B72" s="48" t="s">
        <v>130</v>
      </c>
      <c r="C72" s="48" t="e">
        <f>IF(OR(B72="NIFTY",B72="BANKNIFTY"),mrigxl_getIndexQuote(VLOOKUP(B72,Lots!$B:$C,2,0)),_xlfn.NUMBERVALUE(mrigxl_getStockQuote(B72)))</f>
        <v>#VALUE!</v>
      </c>
      <c r="E72" s="117">
        <v>44707</v>
      </c>
      <c r="F72" s="48" t="str">
        <f>TRIM(A72)&amp;TRIM(B72)&amp;TRIM(D72)&amp;TRIM(E72)</f>
        <v>FUTTATAPOWER44707</v>
      </c>
      <c r="G72" s="48" t="e">
        <f t="shared" si="28"/>
        <v>#VALUE!</v>
      </c>
    </row>
    <row r="73" spans="1:21">
      <c r="A73" s="48" t="s">
        <v>632</v>
      </c>
      <c r="B73" s="48" t="s">
        <v>506</v>
      </c>
      <c r="C73" s="48" t="str">
        <f>IF(OR(B73="NIFTY",B73="BANKNIFTY"),mrigxl_getIndexQuote(VLOOKUP(B73,Lots!$B:$C,2,0)),_xlfn.NUMBERVALUE(mrigxl_getStockQuote(B73)))</f>
        <v>Moved Permanently
The last 30x error message was:
urllib.error.HTTPError: HTTP Error 301: The HTTP server returned a redirect error that would lead to an infinite loop.
    raise HTTPError(req.full_url, code,
  File "C:\anaconda\lib\urllib\request.py", line 736,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return self.parent.open(new, timeout=req.timeout)
  File "C:\anaconda\lib\urllib\request.py", line 747, in http_error_302
    result = func(*args)
  File "C:\anaconda\lib\urllib\request.py", line 494, in _call_chain
    result = self._call_chain(*args)
  File "C:\anaconda\lib\urllib\request.py", line 555, in error
    response = self.parent.error(
  File "C:\anaconda\lib\urllib\request.py", line 632, in http_response
    response = meth(req, response)
  File "C:\anaconda\lib\urllib\request.py", line 523, in open
    resp = self.opener.open(req)
  File "C:\anaconda\lib\site-packages\nsetools\nse.py", line 276, in get_index_list
    index_list = self.get_index_list()
  File "C:\anaconda\lib\site-packages\nsetools\nse.py", line 320, in is_valid_index
    if self.is_valid_index(code):
  File "C:\anaconda\lib\site-packages\nsetools\nse.py", line 332, in get_index_quote
    indexQuote = nse.get_index_quote(symbol)['lastPrice']
  File "g:\mrig analytics\mriganalytics\interface\..\mrigutilities.py", line 626, in getIndexQuote
    quote = mu.getIndexQuote(symbol)
  File "g:\mrig analytics\mriganalytics\interface\pyxcel.py", line 132, in mrigxl_getIndexQuote
    ret = func(*args)
  File "C:\anaconda\lib\site-packages\xlwings\udfs.py", line 547, in call_udf
    res = call_udf(script, fname, args, this_workbook, FromVariant(caller))
  File "C:\anaconda\lib\site-packages\xlwings\server.py", line 230, in CallUDF
    return func(*args)
  File "C:\anaconda\lib\site-packages\win32com\server\policy.py", line 637, in _invokeex_
    return S_OK, -1, self._invokeex_(dispid, lcid, wFlags, args, None, None)
  File "C:\anaconda\lib\site-packages\win32com\server\policy.py", line 308, in _invoke_
    return self._invoke_(dispid, lcid, wFlags, args)
  File "C:\anaconda\lib\site-packages\win32com\server\policy.py", line 303, in _Invoke_</v>
      </c>
      <c r="E73" s="117">
        <v>44742</v>
      </c>
      <c r="F73" s="48" t="str">
        <f t="shared" ref="F73" si="29">TRIM(A73)&amp;TRIM(B73)&amp;TRIM(D73)&amp;TRIM(E73)</f>
        <v>FUTBANKNIFTY44742</v>
      </c>
      <c r="G73" s="48" t="e">
        <f t="shared" si="28"/>
        <v>#VALUE!</v>
      </c>
      <c r="H73" t="s">
        <v>640</v>
      </c>
    </row>
    <row r="74" spans="1:21">
      <c r="A74" s="48" t="s">
        <v>632</v>
      </c>
      <c r="B74" s="48" t="s">
        <v>381</v>
      </c>
      <c r="C74" s="48" t="e">
        <f>IF(OR(B74="NIFTY",B74="BANKNIFTY"),mrigxl_getIndexQuote(VLOOKUP(B74,Lots!$B:$C,2,0)),_xlfn.NUMBERVALUE(mrigxl_getStockQuote(B74)))</f>
        <v>#VALUE!</v>
      </c>
      <c r="E74" s="117">
        <v>44707</v>
      </c>
      <c r="F74" s="48" t="str">
        <f>TRIM(A74)&amp;TRIM(B74)&amp;TRIM(D74)&amp;TRIM(E74)</f>
        <v>FUTMINDTREE44707</v>
      </c>
      <c r="G74" s="48" t="e">
        <f t="shared" ref="G74" si="30">IF(H74="IN",VALUE(IF(A74="FUT",mrigxl_getIndexFuturesQuote(B74,E74,"lastPrice"),mrigxl_getIndexOptionQuote(B74,E74,D74,A74,$H$1))),VALUE(IF(A74="FUT",mrigxl_getStockFuturesQuote(B74,E74,"lastPrice"),mrigxl_getStockOptionQuote(B74,E74,D74,A74,$H$1))))</f>
        <v>#VALUE!</v>
      </c>
    </row>
    <row r="75" spans="1:21">
      <c r="A75" s="48" t="s">
        <v>481</v>
      </c>
      <c r="B75" s="48" t="s">
        <v>381</v>
      </c>
      <c r="C75" s="48" t="e">
        <f>IF(OR(B75="NIFTY",B75="BANKNIFTY"),mrigxl_getIndexQuote(VLOOKUP(B75,Lots!$B:$C,2,0)),_xlfn.NUMBERVALUE(mrigxl_getStockQuote(B75)))</f>
        <v>#VALUE!</v>
      </c>
      <c r="D75" s="48">
        <v>3900</v>
      </c>
      <c r="E75" s="117">
        <v>44707</v>
      </c>
      <c r="F75" s="48" t="str">
        <f t="shared" ref="F75" si="31">TRIM(A75)&amp;TRIM(B75)&amp;TRIM(D75)&amp;TRIM(E75)</f>
        <v>CEMINDTREE390044707</v>
      </c>
      <c r="G75" s="48" t="e">
        <f>IF(H75="IN",VALUE(IF(A75="FUT",mrigxl_getIndexFuturesQuote(B75,E75,"lastPrice"),mrigxl_getIndexOptionQuote(B75,E75,D75,A75,$H$1))),VALUE(IF(A75="FUT",mrigxl_getStockFuturesQuote(B75,E75,"lastPrice"),mrigxl_getStockOptionQuote(B75,E75,D75,A75,$H$1))))</f>
        <v>#VALUE!</v>
      </c>
    </row>
    <row r="76" spans="1:21">
      <c r="A76" s="48" t="s">
        <v>482</v>
      </c>
      <c r="B76" s="48" t="s">
        <v>381</v>
      </c>
      <c r="C76" s="48" t="e">
        <f>IF(OR(B76="NIFTY",B76="BANKNIFTY"),mrigxl_getIndexQuote(VLOOKUP(B76,Lots!$B:$C,2,0)),_xlfn.NUMBERVALUE(mrigxl_getStockQuote(B76)))</f>
        <v>#VALUE!</v>
      </c>
      <c r="D76" s="48">
        <v>3200</v>
      </c>
      <c r="E76" s="117">
        <v>44742</v>
      </c>
      <c r="F76" s="48" t="str">
        <f t="shared" ref="F76" si="32">TRIM(A76)&amp;TRIM(B76)&amp;TRIM(D76)&amp;TRIM(E76)</f>
        <v>PEMINDTREE320044742</v>
      </c>
      <c r="G76" s="48" t="e">
        <f>IF(H76="IN",VALUE(IF(A76="FUT",mrigxl_getIndexFuturesQuote(B76,E76,"lastPrice"),mrigxl_getIndexOptionQuote(B76,E76,D76,A76,$H$1))),VALUE(IF(A76="FUT",mrigxl_getStockFuturesQuote(B76,E76,"lastPrice"),mrigxl_getStockOptionQuote(B76,E76,D76,A76,$H$1))))</f>
        <v>#VALUE!</v>
      </c>
    </row>
    <row r="77" spans="1:21">
      <c r="B77" s="48" t="s">
        <v>104</v>
      </c>
      <c r="C77" s="48" t="e">
        <f>IF(OR(B77="NIFTY",B77="BANKNIFTY"),mrigxl_getIndexQuote(VLOOKUP(B77,Lots!$B:$C,2,0)),_xlfn.NUMBERVALUE(mrigxl_getStockQuote(B77)))</f>
        <v>#VALUE!</v>
      </c>
    </row>
    <row r="78" spans="1:21">
      <c r="B78" s="48" t="s">
        <v>681</v>
      </c>
      <c r="C78" s="48" t="e">
        <f>IF(OR(B78="NIFTY",B78="BANKNIFTY"),mrigxl_getIndexQuote(VLOOKUP(B78,Lots!$B:$C,2,0)),_xlfn.NUMBERVALUE(mrigxl_getStockQuote(B78)))</f>
        <v>#VALUE!</v>
      </c>
    </row>
  </sheetData>
  <autoFilter ref="A14:H76" xr:uid="{00000000-0009-0000-0000-00000D000000}"/>
  <sortState xmlns:xlrd2="http://schemas.microsoft.com/office/spreadsheetml/2017/richdata2" ref="A15:E53">
    <sortCondition descending="1" ref="E15:E53"/>
  </sortState>
  <mergeCells count="1">
    <mergeCell ref="A1:G1"/>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
  <dimension ref="B1:T21"/>
  <sheetViews>
    <sheetView tabSelected="1" workbookViewId="0">
      <selection activeCell="Q5" sqref="Q5"/>
    </sheetView>
  </sheetViews>
  <sheetFormatPr defaultRowHeight="15"/>
  <cols>
    <col min="2" max="3" width="12.28515625" customWidth="1"/>
    <col min="4" max="5" width="12.28515625" style="36" customWidth="1"/>
    <col min="6" max="12" width="12.28515625" customWidth="1"/>
    <col min="14" max="17" width="12.28515625" customWidth="1"/>
    <col min="19" max="19" width="12.85546875" bestFit="1" customWidth="1"/>
  </cols>
  <sheetData>
    <row r="1" spans="2:20">
      <c r="B1" s="164"/>
      <c r="C1" s="48"/>
      <c r="D1" s="164"/>
      <c r="E1" s="164"/>
      <c r="F1" s="191" t="s">
        <v>670</v>
      </c>
      <c r="G1" s="191"/>
      <c r="H1" s="177"/>
      <c r="I1" s="190" t="s">
        <v>668</v>
      </c>
      <c r="J1" s="190"/>
      <c r="K1" s="190" t="s">
        <v>665</v>
      </c>
      <c r="L1" s="190"/>
      <c r="M1" s="48"/>
      <c r="N1" s="192" t="s">
        <v>672</v>
      </c>
      <c r="O1" s="193"/>
      <c r="P1" s="193"/>
      <c r="Q1" s="193"/>
      <c r="R1" s="194"/>
      <c r="S1" s="196"/>
    </row>
    <row r="2" spans="2:20" ht="32.25" customHeight="1">
      <c r="B2" s="175" t="s">
        <v>21</v>
      </c>
      <c r="C2" s="176" t="s">
        <v>659</v>
      </c>
      <c r="D2" s="175" t="s">
        <v>660</v>
      </c>
      <c r="E2" s="175" t="s">
        <v>667</v>
      </c>
      <c r="F2" s="176" t="s">
        <v>671</v>
      </c>
      <c r="G2" s="175" t="s">
        <v>661</v>
      </c>
      <c r="H2" s="175" t="s">
        <v>661</v>
      </c>
      <c r="I2" s="175" t="s">
        <v>663</v>
      </c>
      <c r="J2" s="176" t="s">
        <v>664</v>
      </c>
      <c r="K2" s="175" t="s">
        <v>669</v>
      </c>
      <c r="L2" s="176" t="s">
        <v>664</v>
      </c>
      <c r="M2" s="176" t="s">
        <v>117</v>
      </c>
      <c r="N2" s="176" t="s">
        <v>673</v>
      </c>
      <c r="O2" s="176" t="s">
        <v>662</v>
      </c>
      <c r="P2" s="175" t="s">
        <v>666</v>
      </c>
      <c r="Q2" s="176" t="s">
        <v>780</v>
      </c>
      <c r="R2" s="176" t="s">
        <v>778</v>
      </c>
      <c r="S2" s="176" t="s">
        <v>781</v>
      </c>
      <c r="T2" s="176" t="s">
        <v>779</v>
      </c>
    </row>
    <row r="3" spans="2:20">
      <c r="B3" t="s">
        <v>130</v>
      </c>
      <c r="C3">
        <v>6750</v>
      </c>
      <c r="D3" s="33">
        <v>293.5</v>
      </c>
      <c r="F3">
        <v>3.65</v>
      </c>
      <c r="G3">
        <v>280</v>
      </c>
      <c r="H3" s="34">
        <f>G3/D3-1</f>
        <v>-4.5996592844974482E-2</v>
      </c>
      <c r="N3">
        <f>F3-J3+L3</f>
        <v>3.65</v>
      </c>
      <c r="O3" s="34" t="e">
        <f t="shared" ref="O3:O9" si="0">F3*C3/M3</f>
        <v>#DIV/0!</v>
      </c>
      <c r="P3" s="34" t="e">
        <f t="shared" ref="P3:P9" si="1">N3*C3/M3</f>
        <v>#DIV/0!</v>
      </c>
      <c r="Q3" s="34"/>
      <c r="R3" s="34" t="e">
        <f>(E3-D3)*C3/M3</f>
        <v>#DIV/0!</v>
      </c>
      <c r="S3" s="34"/>
    </row>
    <row r="4" spans="2:20">
      <c r="B4" t="s">
        <v>130</v>
      </c>
      <c r="C4">
        <v>6750</v>
      </c>
      <c r="D4" s="33">
        <v>258</v>
      </c>
      <c r="F4">
        <v>5.4</v>
      </c>
      <c r="G4">
        <v>270</v>
      </c>
      <c r="H4" s="34">
        <f t="shared" ref="H4:H21" si="2">G4/D4-1</f>
        <v>4.6511627906976827E-2</v>
      </c>
      <c r="N4">
        <f t="shared" ref="N4:N21" si="3">F4-J4+L4</f>
        <v>5.4</v>
      </c>
      <c r="O4" s="34" t="e">
        <f t="shared" si="0"/>
        <v>#DIV/0!</v>
      </c>
      <c r="P4" s="34" t="e">
        <f t="shared" si="1"/>
        <v>#DIV/0!</v>
      </c>
      <c r="Q4" s="34"/>
      <c r="R4" s="34" t="e">
        <f>(E4-D4)*C4/M4</f>
        <v>#DIV/0!</v>
      </c>
      <c r="S4" s="34"/>
    </row>
    <row r="5" spans="2:20">
      <c r="B5" t="s">
        <v>284</v>
      </c>
      <c r="C5">
        <v>1425</v>
      </c>
      <c r="D5" s="33">
        <v>637.1</v>
      </c>
      <c r="F5">
        <v>7.5</v>
      </c>
      <c r="G5">
        <v>650</v>
      </c>
      <c r="H5" s="34">
        <f>(G5+F5)/D5-1</f>
        <v>3.2020091037513687E-2</v>
      </c>
      <c r="I5">
        <v>620</v>
      </c>
      <c r="J5">
        <v>5.25</v>
      </c>
      <c r="K5" s="195"/>
      <c r="M5">
        <v>79000</v>
      </c>
      <c r="N5">
        <f>F5-J5+L5</f>
        <v>2.25</v>
      </c>
      <c r="O5" s="34">
        <f t="shared" si="0"/>
        <v>0.13528481012658228</v>
      </c>
      <c r="P5" s="34">
        <f t="shared" si="1"/>
        <v>4.0585443037974685E-2</v>
      </c>
      <c r="Q5" s="33">
        <f>($G5+$N5-$D5)*$C5</f>
        <v>21588.749999999967</v>
      </c>
      <c r="R5" s="34">
        <f>($G5+$N5-$D5)*$C5/$M5</f>
        <v>0.2732753164556958</v>
      </c>
      <c r="S5" s="33">
        <f>($I5+$N5-$D5)*$C5</f>
        <v>-21161.250000000033</v>
      </c>
      <c r="T5" s="34">
        <f>($I5+$N5-$D5)*$C5/$M5</f>
        <v>-0.26786392405063331</v>
      </c>
    </row>
    <row r="6" spans="2:20">
      <c r="B6" t="s">
        <v>284</v>
      </c>
      <c r="C6">
        <v>1425</v>
      </c>
      <c r="D6" s="33">
        <v>459.3</v>
      </c>
      <c r="H6" s="34">
        <f t="shared" si="2"/>
        <v>-1</v>
      </c>
      <c r="K6">
        <v>410</v>
      </c>
      <c r="L6">
        <v>10.35</v>
      </c>
      <c r="N6">
        <f t="shared" si="3"/>
        <v>10.35</v>
      </c>
      <c r="O6" s="34" t="e">
        <f t="shared" si="0"/>
        <v>#DIV/0!</v>
      </c>
      <c r="P6" s="34" t="e">
        <f t="shared" si="1"/>
        <v>#DIV/0!</v>
      </c>
      <c r="Q6" s="34"/>
      <c r="R6" s="34" t="e">
        <f>(E6-D6)*C6/M6</f>
        <v>#DIV/0!</v>
      </c>
      <c r="S6" s="34"/>
    </row>
    <row r="7" spans="2:20">
      <c r="B7" t="s">
        <v>126</v>
      </c>
      <c r="C7">
        <v>3750</v>
      </c>
      <c r="D7" s="33">
        <v>246.3</v>
      </c>
      <c r="F7">
        <v>3.9</v>
      </c>
      <c r="G7">
        <v>240</v>
      </c>
      <c r="H7" s="34">
        <f t="shared" si="2"/>
        <v>-2.5578562728380105E-2</v>
      </c>
      <c r="N7">
        <f t="shared" si="3"/>
        <v>3.9</v>
      </c>
      <c r="O7" s="34" t="e">
        <f t="shared" si="0"/>
        <v>#DIV/0!</v>
      </c>
      <c r="P7" s="34" t="e">
        <f t="shared" si="1"/>
        <v>#DIV/0!</v>
      </c>
      <c r="Q7" s="34"/>
      <c r="R7" s="34" t="e">
        <f>(E7-D7)*C7/M7</f>
        <v>#DIV/0!</v>
      </c>
      <c r="S7" s="34"/>
    </row>
    <row r="8" spans="2:20">
      <c r="B8" t="s">
        <v>126</v>
      </c>
      <c r="C8">
        <v>3750</v>
      </c>
      <c r="D8" s="33">
        <v>234.9</v>
      </c>
      <c r="H8" s="34">
        <f t="shared" si="2"/>
        <v>-1</v>
      </c>
      <c r="K8">
        <v>205</v>
      </c>
      <c r="L8">
        <v>7</v>
      </c>
      <c r="N8">
        <f t="shared" si="3"/>
        <v>7</v>
      </c>
      <c r="O8" s="34" t="e">
        <f t="shared" si="0"/>
        <v>#DIV/0!</v>
      </c>
      <c r="P8" s="34" t="e">
        <f t="shared" si="1"/>
        <v>#DIV/0!</v>
      </c>
      <c r="Q8" s="34"/>
      <c r="R8" s="34" t="e">
        <f>(E8-D8)*C8/M8</f>
        <v>#DIV/0!</v>
      </c>
      <c r="S8" s="34"/>
    </row>
    <row r="9" spans="2:20">
      <c r="B9" s="33" t="s">
        <v>399</v>
      </c>
      <c r="C9">
        <v>575</v>
      </c>
      <c r="D9" s="33">
        <v>1780.35</v>
      </c>
      <c r="E9" s="33"/>
      <c r="F9" s="33">
        <v>20.8</v>
      </c>
      <c r="G9" s="33">
        <v>1800</v>
      </c>
      <c r="H9" s="34">
        <f t="shared" si="2"/>
        <v>1.1037155615468919E-2</v>
      </c>
      <c r="N9">
        <f t="shared" si="3"/>
        <v>20.8</v>
      </c>
      <c r="O9" s="34" t="e">
        <f t="shared" si="0"/>
        <v>#DIV/0!</v>
      </c>
      <c r="P9" s="34" t="e">
        <f t="shared" si="1"/>
        <v>#DIV/0!</v>
      </c>
      <c r="Q9" s="34"/>
      <c r="R9" s="34" t="e">
        <f>(E9-D9)*C9/M9</f>
        <v>#DIV/0!</v>
      </c>
      <c r="S9" s="34"/>
    </row>
    <row r="10" spans="2:20">
      <c r="B10" s="33" t="s">
        <v>90</v>
      </c>
      <c r="C10">
        <v>150</v>
      </c>
      <c r="D10" s="33">
        <v>3692.8</v>
      </c>
      <c r="E10" s="33"/>
      <c r="F10" s="33">
        <v>36</v>
      </c>
      <c r="G10" s="33">
        <v>3800</v>
      </c>
      <c r="H10" s="34">
        <f>G10/D10-1</f>
        <v>2.9029462738301426E-2</v>
      </c>
      <c r="M10">
        <v>147000</v>
      </c>
      <c r="N10">
        <f t="shared" si="3"/>
        <v>36</v>
      </c>
      <c r="O10" s="34">
        <f>F10*C10/M10</f>
        <v>3.6734693877551024E-2</v>
      </c>
      <c r="P10" s="34">
        <f>N10*C10/M10</f>
        <v>3.6734693877551024E-2</v>
      </c>
      <c r="Q10" s="34"/>
      <c r="R10" s="34">
        <f>(E10-D10)*C10/M10</f>
        <v>-3.7681632653061223</v>
      </c>
      <c r="S10" s="34"/>
    </row>
    <row r="11" spans="2:20">
      <c r="B11" s="33" t="s">
        <v>90</v>
      </c>
      <c r="C11">
        <v>150</v>
      </c>
      <c r="D11" s="33">
        <v>3736.25</v>
      </c>
      <c r="E11" s="33"/>
      <c r="F11" s="33"/>
      <c r="G11" s="33"/>
      <c r="H11" s="34">
        <f t="shared" si="2"/>
        <v>-1</v>
      </c>
      <c r="N11">
        <f t="shared" si="3"/>
        <v>0</v>
      </c>
      <c r="O11" s="34" t="e">
        <f t="shared" ref="O11:O21" si="4">F11*C11/M11</f>
        <v>#DIV/0!</v>
      </c>
      <c r="P11" s="34" t="e">
        <f t="shared" ref="P11:P21" si="5">N11*C11/M11</f>
        <v>#DIV/0!</v>
      </c>
      <c r="Q11" s="34"/>
      <c r="R11" s="34" t="e">
        <f t="shared" ref="R11:R21" si="6">(E11-D11)*C11/M11</f>
        <v>#DIV/0!</v>
      </c>
      <c r="S11" s="34"/>
    </row>
    <row r="12" spans="2:20">
      <c r="B12" s="33" t="s">
        <v>381</v>
      </c>
      <c r="C12">
        <v>200</v>
      </c>
      <c r="D12" s="33">
        <v>3565</v>
      </c>
      <c r="E12" s="33"/>
      <c r="F12" s="33">
        <v>77</v>
      </c>
      <c r="G12" s="33">
        <v>3900</v>
      </c>
      <c r="H12" s="34">
        <f t="shared" si="2"/>
        <v>9.3969144460028131E-2</v>
      </c>
      <c r="M12">
        <v>323336</v>
      </c>
      <c r="N12">
        <f t="shared" si="3"/>
        <v>77</v>
      </c>
      <c r="O12" s="34">
        <f t="shared" si="4"/>
        <v>4.7628473167231608E-2</v>
      </c>
      <c r="P12" s="34">
        <f t="shared" si="5"/>
        <v>4.7628473167231608E-2</v>
      </c>
      <c r="Q12" s="34"/>
      <c r="R12" s="34">
        <f t="shared" si="6"/>
        <v>-2.2051364524828663</v>
      </c>
      <c r="S12" s="34"/>
    </row>
    <row r="13" spans="2:20">
      <c r="B13" s="33"/>
      <c r="D13" s="33"/>
      <c r="E13" s="33"/>
      <c r="F13" s="33"/>
      <c r="G13" s="33"/>
      <c r="H13" s="34" t="e">
        <f t="shared" si="2"/>
        <v>#DIV/0!</v>
      </c>
      <c r="N13">
        <f t="shared" si="3"/>
        <v>0</v>
      </c>
      <c r="O13" s="34" t="e">
        <f t="shared" si="4"/>
        <v>#DIV/0!</v>
      </c>
      <c r="P13" s="34" t="e">
        <f t="shared" si="5"/>
        <v>#DIV/0!</v>
      </c>
      <c r="Q13" s="34"/>
      <c r="R13" s="34" t="e">
        <f t="shared" si="6"/>
        <v>#DIV/0!</v>
      </c>
      <c r="S13" s="34"/>
    </row>
    <row r="14" spans="2:20">
      <c r="B14" s="33"/>
      <c r="D14" s="33"/>
      <c r="E14" s="33"/>
      <c r="F14" s="33"/>
      <c r="G14" s="33"/>
      <c r="H14" s="34" t="e">
        <f t="shared" si="2"/>
        <v>#DIV/0!</v>
      </c>
      <c r="N14">
        <f t="shared" si="3"/>
        <v>0</v>
      </c>
      <c r="O14" s="34" t="e">
        <f t="shared" si="4"/>
        <v>#DIV/0!</v>
      </c>
      <c r="P14" s="34" t="e">
        <f t="shared" si="5"/>
        <v>#DIV/0!</v>
      </c>
      <c r="Q14" s="34"/>
      <c r="R14" s="34" t="e">
        <f t="shared" si="6"/>
        <v>#DIV/0!</v>
      </c>
      <c r="S14" s="34"/>
    </row>
    <row r="15" spans="2:20">
      <c r="B15" s="33"/>
      <c r="D15" s="33"/>
      <c r="E15" s="33"/>
      <c r="F15" s="33"/>
      <c r="G15" s="33"/>
      <c r="H15" s="34" t="e">
        <f t="shared" si="2"/>
        <v>#DIV/0!</v>
      </c>
      <c r="N15">
        <f t="shared" si="3"/>
        <v>0</v>
      </c>
      <c r="O15" s="34" t="e">
        <f t="shared" si="4"/>
        <v>#DIV/0!</v>
      </c>
      <c r="P15" s="34" t="e">
        <f t="shared" si="5"/>
        <v>#DIV/0!</v>
      </c>
      <c r="Q15" s="34"/>
      <c r="R15" s="34" t="e">
        <f t="shared" si="6"/>
        <v>#DIV/0!</v>
      </c>
      <c r="S15" s="34"/>
    </row>
    <row r="16" spans="2:20">
      <c r="D16" s="33"/>
      <c r="H16" s="34" t="e">
        <f t="shared" si="2"/>
        <v>#DIV/0!</v>
      </c>
      <c r="N16">
        <f t="shared" si="3"/>
        <v>0</v>
      </c>
      <c r="O16" s="34" t="e">
        <f t="shared" si="4"/>
        <v>#DIV/0!</v>
      </c>
      <c r="P16" s="34" t="e">
        <f t="shared" si="5"/>
        <v>#DIV/0!</v>
      </c>
      <c r="Q16" s="34"/>
      <c r="R16" s="34" t="e">
        <f t="shared" si="6"/>
        <v>#DIV/0!</v>
      </c>
      <c r="S16" s="34"/>
    </row>
    <row r="17" spans="4:19">
      <c r="D17" s="33"/>
      <c r="H17" s="34" t="e">
        <f t="shared" si="2"/>
        <v>#DIV/0!</v>
      </c>
      <c r="N17">
        <f t="shared" si="3"/>
        <v>0</v>
      </c>
      <c r="O17" s="34" t="e">
        <f t="shared" si="4"/>
        <v>#DIV/0!</v>
      </c>
      <c r="P17" s="34" t="e">
        <f t="shared" si="5"/>
        <v>#DIV/0!</v>
      </c>
      <c r="Q17" s="34"/>
      <c r="R17" s="34" t="e">
        <f t="shared" si="6"/>
        <v>#DIV/0!</v>
      </c>
      <c r="S17" s="34"/>
    </row>
    <row r="18" spans="4:19">
      <c r="D18" s="33"/>
      <c r="H18" s="34" t="e">
        <f t="shared" si="2"/>
        <v>#DIV/0!</v>
      </c>
      <c r="N18">
        <f t="shared" si="3"/>
        <v>0</v>
      </c>
      <c r="O18" s="34" t="e">
        <f t="shared" si="4"/>
        <v>#DIV/0!</v>
      </c>
      <c r="P18" s="34" t="e">
        <f t="shared" si="5"/>
        <v>#DIV/0!</v>
      </c>
      <c r="Q18" s="34"/>
      <c r="R18" s="34" t="e">
        <f t="shared" si="6"/>
        <v>#DIV/0!</v>
      </c>
      <c r="S18" s="34"/>
    </row>
    <row r="19" spans="4:19">
      <c r="D19" s="33"/>
      <c r="H19" s="34" t="e">
        <f t="shared" si="2"/>
        <v>#DIV/0!</v>
      </c>
      <c r="N19">
        <f t="shared" si="3"/>
        <v>0</v>
      </c>
      <c r="O19" s="34" t="e">
        <f t="shared" si="4"/>
        <v>#DIV/0!</v>
      </c>
      <c r="P19" s="34" t="e">
        <f t="shared" si="5"/>
        <v>#DIV/0!</v>
      </c>
      <c r="Q19" s="34"/>
      <c r="R19" s="34" t="e">
        <f t="shared" si="6"/>
        <v>#DIV/0!</v>
      </c>
      <c r="S19" s="34"/>
    </row>
    <row r="20" spans="4:19">
      <c r="H20" s="34" t="e">
        <f t="shared" si="2"/>
        <v>#DIV/0!</v>
      </c>
      <c r="N20">
        <f t="shared" si="3"/>
        <v>0</v>
      </c>
      <c r="O20" s="34" t="e">
        <f t="shared" si="4"/>
        <v>#DIV/0!</v>
      </c>
      <c r="P20" s="34" t="e">
        <f t="shared" si="5"/>
        <v>#DIV/0!</v>
      </c>
      <c r="Q20" s="34"/>
      <c r="R20" s="34" t="e">
        <f t="shared" si="6"/>
        <v>#DIV/0!</v>
      </c>
      <c r="S20" s="34"/>
    </row>
    <row r="21" spans="4:19">
      <c r="H21" s="34" t="e">
        <f t="shared" si="2"/>
        <v>#DIV/0!</v>
      </c>
      <c r="N21">
        <f t="shared" si="3"/>
        <v>0</v>
      </c>
      <c r="O21" s="34" t="e">
        <f t="shared" si="4"/>
        <v>#DIV/0!</v>
      </c>
      <c r="P21" s="34" t="e">
        <f t="shared" si="5"/>
        <v>#DIV/0!</v>
      </c>
      <c r="Q21" s="34"/>
      <c r="R21" s="34" t="e">
        <f t="shared" si="6"/>
        <v>#DIV/0!</v>
      </c>
      <c r="S21" s="34"/>
    </row>
  </sheetData>
  <mergeCells count="4">
    <mergeCell ref="I1:J1"/>
    <mergeCell ref="K1:L1"/>
    <mergeCell ref="F1:G1"/>
    <mergeCell ref="N1:R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BA2C80-5C2B-4CEE-99E4-C9C1581346A4}">
  <sheetPr codeName="Sheet12"/>
  <dimension ref="A1:L16"/>
  <sheetViews>
    <sheetView workbookViewId="0">
      <selection activeCell="F8" sqref="F8"/>
    </sheetView>
  </sheetViews>
  <sheetFormatPr defaultRowHeight="15"/>
  <sheetData>
    <row r="1" spans="1:12">
      <c r="F1" t="s">
        <v>765</v>
      </c>
      <c r="G1" t="s">
        <v>766</v>
      </c>
      <c r="H1" t="s">
        <v>767</v>
      </c>
      <c r="J1" t="s">
        <v>768</v>
      </c>
      <c r="K1" t="s">
        <v>769</v>
      </c>
      <c r="L1" t="s">
        <v>770</v>
      </c>
    </row>
    <row r="2" spans="1:12">
      <c r="A2" t="s">
        <v>21</v>
      </c>
      <c r="B2" t="s">
        <v>284</v>
      </c>
    </row>
    <row r="3" spans="1:12">
      <c r="A3" t="s">
        <v>771</v>
      </c>
      <c r="B3">
        <v>633.79999999999995</v>
      </c>
      <c r="E3" t="s">
        <v>22</v>
      </c>
      <c r="F3">
        <v>630</v>
      </c>
      <c r="G3">
        <v>635</v>
      </c>
      <c r="H3">
        <v>640</v>
      </c>
      <c r="J3">
        <v>650</v>
      </c>
      <c r="K3">
        <v>645</v>
      </c>
    </row>
    <row r="4" spans="1:12">
      <c r="E4" t="s">
        <v>540</v>
      </c>
      <c r="F4" t="s">
        <v>777</v>
      </c>
      <c r="G4" t="s">
        <v>777</v>
      </c>
      <c r="H4" t="s">
        <v>777</v>
      </c>
      <c r="I4" t="s">
        <v>777</v>
      </c>
      <c r="J4" t="s">
        <v>777</v>
      </c>
      <c r="K4" t="s">
        <v>777</v>
      </c>
      <c r="L4" t="s">
        <v>777</v>
      </c>
    </row>
    <row r="5" spans="1:12">
      <c r="E5" t="s">
        <v>78</v>
      </c>
      <c r="F5" s="72">
        <v>45197</v>
      </c>
      <c r="G5" s="72">
        <v>45197</v>
      </c>
      <c r="H5" s="72">
        <v>45197</v>
      </c>
      <c r="I5" s="72"/>
      <c r="J5" s="72">
        <v>45197</v>
      </c>
      <c r="K5" s="72">
        <v>45197</v>
      </c>
      <c r="L5" s="72">
        <v>45197</v>
      </c>
    </row>
    <row r="6" spans="1:12">
      <c r="E6" t="s">
        <v>772</v>
      </c>
      <c r="F6">
        <f ca="1">(-TODAY()+F$5)/365</f>
        <v>3.5616438356164383E-2</v>
      </c>
      <c r="G6">
        <f t="shared" ref="G6:L6" ca="1" si="0">(-TODAY()+G$5)/365</f>
        <v>3.5616438356164383E-2</v>
      </c>
      <c r="H6">
        <f t="shared" ca="1" si="0"/>
        <v>3.5616438356164383E-2</v>
      </c>
      <c r="J6">
        <f t="shared" ca="1" si="0"/>
        <v>3.5616438356164383E-2</v>
      </c>
      <c r="K6">
        <f t="shared" ca="1" si="0"/>
        <v>3.5616438356164383E-2</v>
      </c>
      <c r="L6">
        <f t="shared" ca="1" si="0"/>
        <v>3.5616438356164383E-2</v>
      </c>
    </row>
    <row r="7" spans="1:12">
      <c r="E7" t="s">
        <v>487</v>
      </c>
      <c r="F7">
        <v>15.6</v>
      </c>
      <c r="G7">
        <v>13.15</v>
      </c>
      <c r="J7">
        <v>7.15</v>
      </c>
      <c r="K7">
        <v>8.65</v>
      </c>
    </row>
    <row r="8" spans="1:12">
      <c r="E8" t="s">
        <v>71</v>
      </c>
      <c r="F8" s="7">
        <v>0.25</v>
      </c>
      <c r="G8" s="7">
        <v>0.26</v>
      </c>
      <c r="H8" s="7">
        <v>0.25</v>
      </c>
      <c r="I8" s="7"/>
      <c r="J8" s="7">
        <v>0.25</v>
      </c>
      <c r="K8" s="7">
        <v>0.25</v>
      </c>
      <c r="L8" s="7">
        <v>0.25</v>
      </c>
    </row>
    <row r="9" spans="1:12">
      <c r="D9">
        <v>0.11795114565217175</v>
      </c>
      <c r="E9" t="s">
        <v>504</v>
      </c>
      <c r="F9" s="34">
        <f>$D$9</f>
        <v>0.11795114565217175</v>
      </c>
      <c r="G9" s="34">
        <f t="shared" ref="G9:L9" si="1">$D$9</f>
        <v>0.11795114565217175</v>
      </c>
      <c r="H9" s="34">
        <f t="shared" si="1"/>
        <v>0.11795114565217175</v>
      </c>
      <c r="I9" s="34"/>
      <c r="J9" s="34">
        <f t="shared" si="1"/>
        <v>0.11795114565217175</v>
      </c>
      <c r="K9" s="34">
        <f t="shared" si="1"/>
        <v>0.11795114565217175</v>
      </c>
      <c r="L9" s="34">
        <f t="shared" si="1"/>
        <v>0.11795114565217175</v>
      </c>
    </row>
    <row r="10" spans="1:12">
      <c r="E10" t="s">
        <v>773</v>
      </c>
    </row>
    <row r="11" spans="1:12">
      <c r="E11" t="s">
        <v>3</v>
      </c>
    </row>
    <row r="12" spans="1:12">
      <c r="E12" t="s">
        <v>774</v>
      </c>
    </row>
    <row r="13" spans="1:12">
      <c r="E13" t="s">
        <v>775</v>
      </c>
    </row>
    <row r="14" spans="1:12">
      <c r="E14" t="s">
        <v>776</v>
      </c>
      <c r="F14">
        <f ca="1">OptionPrice(F4,$B$3,F$3,F$6,F$9,F$8,0)</f>
        <v>15.365467677079266</v>
      </c>
      <c r="G14">
        <f ca="1">OptionPrice(G4,B3,G3,G6,D9,G8,0)</f>
        <v>13.136017835152984</v>
      </c>
      <c r="H14" t="e">
        <f t="shared" ref="H14:L14" ca="1" si="2">OptionPrice(H4,D3,H3,H6,H9,H8,0)</f>
        <v>#VALUE!</v>
      </c>
      <c r="I14" t="e">
        <f t="shared" si="2"/>
        <v>#VALUE!</v>
      </c>
      <c r="J14">
        <f t="shared" ca="1" si="2"/>
        <v>5.3048123508911544</v>
      </c>
      <c r="K14">
        <f t="shared" ca="1" si="2"/>
        <v>8.7223498269560196</v>
      </c>
      <c r="L14" t="e">
        <f t="shared" ca="1" si="2"/>
        <v>#VALUE!</v>
      </c>
    </row>
    <row r="15" spans="1:12">
      <c r="E15" t="s">
        <v>773</v>
      </c>
    </row>
    <row r="16" spans="1:12">
      <c r="G16">
        <f ca="1">G14-G7</f>
        <v>-1.3982164847016421E-2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vt:i4>
      </vt:variant>
    </vt:vector>
  </HeadingPairs>
  <TitlesOfParts>
    <vt:vector size="18" baseType="lpstr">
      <vt:lpstr>Trade</vt:lpstr>
      <vt:lpstr>ZeroDha Ledger</vt:lpstr>
      <vt:lpstr>Market</vt:lpstr>
      <vt:lpstr>Punting -&gt;&gt;</vt:lpstr>
      <vt:lpstr>Option_Traders</vt:lpstr>
      <vt:lpstr>Option Wheel -&gt;&gt;</vt:lpstr>
      <vt:lpstr>Stock Fundamentals</vt:lpstr>
      <vt:lpstr>Option_Wheel Analysis</vt:lpstr>
      <vt:lpstr>Iron Butterfly Condor -&gt;&gt;</vt:lpstr>
      <vt:lpstr>Iron ButterflyCondor Analysis</vt:lpstr>
      <vt:lpstr>Sheet1</vt:lpstr>
      <vt:lpstr>Swing Futures</vt:lpstr>
      <vt:lpstr>Lots</vt:lpstr>
      <vt:lpstr>Reference</vt:lpstr>
      <vt:lpstr>Rough Analysis</vt:lpstr>
      <vt:lpstr>Sheet2</vt:lpstr>
      <vt:lpstr>NIFTY_DIVYLD</vt:lpstr>
      <vt:lpstr>RISKFREE_RATE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Santosh Bag</dc:creator>
  <cp:lastModifiedBy>Santosh Bag</cp:lastModifiedBy>
  <dcterms:created xsi:type="dcterms:W3CDTF">2019-01-10T01:37:15Z</dcterms:created>
  <dcterms:modified xsi:type="dcterms:W3CDTF">2023-09-15T17:08:35Z</dcterms:modified>
</cp:coreProperties>
</file>